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120" yWindow="360" windowWidth="15120" windowHeight="7635" tabRatio="948" activeTab="1"/>
  </bookViews>
  <sheets>
    <sheet name="VYSVETLIVKY" sheetId="51" r:id="rId1"/>
    <sheet name="1" sheetId="1" r:id="rId2"/>
    <sheet name="2" sheetId="4" r:id="rId3"/>
    <sheet name="2_tabulka c.2" sheetId="52" r:id="rId4"/>
    <sheet name="3" sheetId="5" r:id="rId5"/>
    <sheet name="4" sheetId="6" r:id="rId6"/>
    <sheet name="5" sheetId="7" r:id="rId7"/>
    <sheet name="6" sheetId="8" r:id="rId8"/>
    <sheet name="7" sheetId="9" r:id="rId9"/>
    <sheet name="8" sheetId="10" r:id="rId10"/>
    <sheet name="9" sheetId="11" r:id="rId11"/>
    <sheet name="10" sheetId="12" r:id="rId12"/>
    <sheet name="11" sheetId="13" r:id="rId13"/>
    <sheet name="12" sheetId="14" r:id="rId14"/>
    <sheet name="12_tabulka c.2" sheetId="53" r:id="rId15"/>
    <sheet name="13" sheetId="15" r:id="rId16"/>
    <sheet name="14_tabulka 1 a 3" sheetId="56" r:id="rId17"/>
    <sheet name="14_tabulka 2 a 4" sheetId="57" r:id="rId18"/>
    <sheet name="15" sheetId="17" r:id="rId19"/>
    <sheet name="16" sheetId="18" r:id="rId20"/>
    <sheet name="16_tabulka c.2" sheetId="54" r:id="rId21"/>
    <sheet name="17" sheetId="19" r:id="rId22"/>
    <sheet name="18" sheetId="20" r:id="rId23"/>
    <sheet name="18_tabulka c.2" sheetId="55" r:id="rId24"/>
    <sheet name="19" sheetId="21" r:id="rId25"/>
    <sheet name="20" sheetId="22" r:id="rId26"/>
    <sheet name="21" sheetId="23" r:id="rId27"/>
    <sheet name="22" sheetId="24" r:id="rId28"/>
    <sheet name="23" sheetId="25" r:id="rId29"/>
    <sheet name="24" sheetId="26" r:id="rId30"/>
    <sheet name="24_tabulky 3 a 4" sheetId="50" r:id="rId31"/>
    <sheet name="25" sheetId="27" r:id="rId32"/>
    <sheet name="26" sheetId="28" r:id="rId33"/>
    <sheet name="27" sheetId="30" r:id="rId34"/>
    <sheet name="28" sheetId="31" r:id="rId35"/>
    <sheet name="29" sheetId="32" r:id="rId36"/>
    <sheet name="30" sheetId="29" r:id="rId37"/>
    <sheet name="31" sheetId="33" r:id="rId38"/>
    <sheet name="32" sheetId="34" r:id="rId39"/>
    <sheet name="32_tabulka 2" sheetId="59" r:id="rId40"/>
    <sheet name="33" sheetId="35" r:id="rId41"/>
    <sheet name="34" sheetId="36" r:id="rId42"/>
    <sheet name="35" sheetId="37" r:id="rId43"/>
    <sheet name="36" sheetId="38" r:id="rId44"/>
    <sheet name="37" sheetId="39" r:id="rId45"/>
    <sheet name="38" sheetId="40" r:id="rId46"/>
    <sheet name="39" sheetId="41" r:id="rId47"/>
    <sheet name="40" sheetId="42" r:id="rId48"/>
    <sheet name="41" sheetId="43" r:id="rId49"/>
    <sheet name="42" sheetId="44" r:id="rId50"/>
    <sheet name="43" sheetId="45" r:id="rId51"/>
    <sheet name="44" sheetId="46" r:id="rId52"/>
    <sheet name="45" sheetId="47" r:id="rId53"/>
    <sheet name="46" sheetId="48" r:id="rId54"/>
    <sheet name="Hárok1" sheetId="60" r:id="rId55"/>
    <sheet name="HK" sheetId="64" r:id="rId56"/>
    <sheet name="HKSU" sheetId="73" r:id="rId57"/>
    <sheet name="HKM" sheetId="65" r:id="rId58"/>
    <sheet name="HKSUM" sheetId="74" r:id="rId59"/>
    <sheet name="VZaS" sheetId="66" r:id="rId60"/>
    <sheet name="VZaSM" sheetId="67" r:id="rId61"/>
    <sheet name="SUA" sheetId="68" r:id="rId62"/>
    <sheet name="SUP" sheetId="69" r:id="rId63"/>
    <sheet name="SUAM" sheetId="70" r:id="rId64"/>
    <sheet name="SUPM" sheetId="71" r:id="rId65"/>
    <sheet name="Info" sheetId="72" r:id="rId66"/>
  </sheets>
  <calcPr calcId="145621"/>
</workbook>
</file>

<file path=xl/calcChain.xml><?xml version="1.0" encoding="utf-8"?>
<calcChain xmlns="http://schemas.openxmlformats.org/spreadsheetml/2006/main">
  <c r="C10" i="41" l="1"/>
  <c r="B10" i="41"/>
  <c r="B22" i="41"/>
  <c r="C22" i="41"/>
  <c r="E12" i="32"/>
  <c r="F31" i="27"/>
  <c r="F32" i="27"/>
  <c r="F33" i="27"/>
  <c r="F34" i="27"/>
  <c r="F30" i="27"/>
  <c r="J22" i="7"/>
  <c r="J23" i="7"/>
  <c r="C36" i="7"/>
  <c r="J42" i="9"/>
  <c r="J43" i="9"/>
  <c r="J41" i="9"/>
  <c r="J37" i="9"/>
  <c r="J38" i="9"/>
  <c r="J36" i="9"/>
  <c r="J31" i="9"/>
  <c r="J32" i="9"/>
  <c r="J33" i="9"/>
  <c r="J19" i="9"/>
  <c r="J18" i="9"/>
  <c r="J13" i="9"/>
  <c r="J14" i="9"/>
  <c r="J12" i="9"/>
  <c r="J7" i="9"/>
  <c r="J8" i="9"/>
  <c r="J9" i="9"/>
  <c r="J42" i="7"/>
  <c r="J43" i="7"/>
  <c r="J37" i="7"/>
  <c r="J38" i="7"/>
  <c r="J31" i="7"/>
  <c r="J32" i="7"/>
  <c r="J33" i="7"/>
  <c r="J18" i="7"/>
  <c r="J19" i="7"/>
  <c r="J13" i="7"/>
  <c r="J14" i="7"/>
  <c r="J7" i="7"/>
  <c r="J8" i="7"/>
  <c r="J9" i="7"/>
  <c r="B18" i="26" l="1"/>
  <c r="B4" i="26"/>
  <c r="B37" i="50" l="1"/>
  <c r="B36" i="50"/>
  <c r="B33" i="50"/>
  <c r="B13" i="50"/>
  <c r="B10" i="50"/>
  <c r="B14" i="41"/>
  <c r="C10" i="39" l="1"/>
  <c r="C6" i="39"/>
  <c r="F5" i="38"/>
  <c r="E5" i="38"/>
  <c r="C5" i="38"/>
  <c r="F12" i="32" l="1"/>
  <c r="F7" i="32"/>
  <c r="C9" i="30"/>
  <c r="F31" i="50"/>
  <c r="F29" i="50"/>
  <c r="B31" i="50"/>
  <c r="B29" i="50"/>
  <c r="E10" i="55"/>
  <c r="B11" i="55"/>
  <c r="B10" i="55"/>
  <c r="B8" i="55"/>
  <c r="B7" i="55"/>
  <c r="D6" i="18"/>
  <c r="D6" i="56"/>
  <c r="B34" i="9"/>
  <c r="H10" i="9"/>
  <c r="H20" i="7"/>
  <c r="I17" i="7"/>
  <c r="I20" i="7"/>
  <c r="G31" i="5"/>
  <c r="C31" i="5"/>
  <c r="E12" i="5"/>
  <c r="E10" i="5"/>
  <c r="C10" i="5"/>
  <c r="E6" i="5"/>
  <c r="B3" i="41" l="1"/>
  <c r="B12" i="5"/>
  <c r="B10" i="39" l="1"/>
  <c r="B19" i="41"/>
  <c r="C19" i="41"/>
  <c r="C14" i="41"/>
  <c r="C5" i="20"/>
  <c r="B5" i="20"/>
  <c r="C7" i="20"/>
  <c r="F40" i="50" l="1"/>
  <c r="B3" i="21" l="1"/>
  <c r="F4" i="21"/>
  <c r="C11" i="43"/>
  <c r="C10" i="43"/>
  <c r="F11" i="43"/>
  <c r="C20" i="41"/>
  <c r="C11" i="39"/>
  <c r="B25" i="41"/>
  <c r="B20" i="41"/>
  <c r="B11" i="39"/>
  <c r="B17" i="39"/>
  <c r="C17" i="39"/>
  <c r="F12" i="38"/>
  <c r="E12" i="38"/>
  <c r="C13" i="33"/>
  <c r="C9" i="33"/>
  <c r="C6" i="33"/>
  <c r="C3" i="33"/>
  <c r="B13" i="33"/>
  <c r="B9" i="33"/>
  <c r="B6" i="33"/>
  <c r="B3" i="33"/>
  <c r="C12" i="29"/>
  <c r="B12" i="29"/>
  <c r="E27" i="32"/>
  <c r="E7" i="32"/>
  <c r="F29" i="27"/>
  <c r="B29" i="27"/>
  <c r="C12" i="24"/>
  <c r="C9" i="24"/>
  <c r="C6" i="24"/>
  <c r="C3" i="24"/>
  <c r="B12" i="24"/>
  <c r="B9" i="24"/>
  <c r="B6" i="24"/>
  <c r="B3" i="24"/>
  <c r="F3" i="21"/>
  <c r="B4" i="21"/>
  <c r="C6" i="20"/>
  <c r="C4" i="20"/>
  <c r="B6" i="20"/>
  <c r="B7" i="20"/>
  <c r="B4" i="20"/>
  <c r="D18" i="18"/>
  <c r="D17" i="18"/>
  <c r="D16" i="18"/>
  <c r="D15" i="18"/>
  <c r="D14" i="18"/>
  <c r="D13" i="18"/>
  <c r="D12" i="18"/>
  <c r="D9" i="18"/>
  <c r="D8" i="18"/>
  <c r="D7" i="18"/>
  <c r="D5" i="18"/>
  <c r="F8" i="17"/>
  <c r="F7" i="17"/>
  <c r="F6" i="17"/>
  <c r="F5" i="17"/>
  <c r="F4" i="17"/>
  <c r="B8" i="17"/>
  <c r="B7" i="17"/>
  <c r="B6" i="17"/>
  <c r="B5" i="17"/>
  <c r="B4" i="17"/>
  <c r="I44" i="9"/>
  <c r="I17" i="9"/>
  <c r="J17" i="9" s="1"/>
  <c r="I20" i="9"/>
  <c r="I44" i="7"/>
  <c r="H45" i="5"/>
  <c r="H17" i="5"/>
  <c r="H20" i="5"/>
  <c r="F9" i="17" l="1"/>
  <c r="B40" i="50"/>
  <c r="C6" i="40"/>
  <c r="C5" i="40"/>
  <c r="C4" i="40"/>
  <c r="C3" i="40"/>
  <c r="B6" i="40"/>
  <c r="B5" i="40"/>
  <c r="B4" i="40"/>
  <c r="B3" i="40"/>
  <c r="F10" i="38"/>
  <c r="F9" i="38"/>
  <c r="F8" i="38"/>
  <c r="E10" i="38"/>
  <c r="E9" i="38"/>
  <c r="E8" i="38"/>
  <c r="F6" i="38"/>
  <c r="E6" i="38"/>
  <c r="D6" i="38"/>
  <c r="C6" i="38"/>
  <c r="B6" i="38"/>
  <c r="B5" i="38"/>
  <c r="F4" i="38"/>
  <c r="E4" i="38"/>
  <c r="D4" i="38"/>
  <c r="C4" i="38"/>
  <c r="B4" i="38"/>
  <c r="B9" i="30"/>
  <c r="C3" i="30"/>
  <c r="B3" i="30"/>
  <c r="F23" i="27"/>
  <c r="B23" i="27"/>
  <c r="F11" i="27"/>
  <c r="B11" i="27"/>
  <c r="F5" i="27"/>
  <c r="B5" i="27"/>
  <c r="F46" i="50"/>
  <c r="F45" i="50"/>
  <c r="F42" i="50"/>
  <c r="F41" i="50"/>
  <c r="F39" i="50"/>
  <c r="F38" i="50"/>
  <c r="F37" i="50"/>
  <c r="F36" i="50"/>
  <c r="F35" i="50"/>
  <c r="F34" i="50"/>
  <c r="F33" i="50"/>
  <c r="F32" i="50"/>
  <c r="F30" i="50"/>
  <c r="F28" i="50"/>
  <c r="B46" i="50"/>
  <c r="B45" i="50"/>
  <c r="B42" i="50"/>
  <c r="B41" i="50"/>
  <c r="B39" i="50"/>
  <c r="B38" i="50"/>
  <c r="B35" i="50"/>
  <c r="B34" i="50"/>
  <c r="B32" i="50"/>
  <c r="B30" i="50"/>
  <c r="B28" i="50"/>
  <c r="F8" i="50"/>
  <c r="F6" i="50"/>
  <c r="B8" i="50"/>
  <c r="B6" i="50"/>
  <c r="F23" i="50"/>
  <c r="F22" i="50"/>
  <c r="F19" i="50"/>
  <c r="F18" i="50"/>
  <c r="F17" i="50"/>
  <c r="F16" i="50"/>
  <c r="F15" i="50"/>
  <c r="F14" i="50"/>
  <c r="F13" i="50"/>
  <c r="F12" i="50"/>
  <c r="F11" i="50"/>
  <c r="F10" i="50"/>
  <c r="F9" i="50"/>
  <c r="F7" i="50"/>
  <c r="F5" i="50"/>
  <c r="B23" i="50"/>
  <c r="B22" i="50"/>
  <c r="B19" i="50"/>
  <c r="B18" i="50"/>
  <c r="B17" i="50"/>
  <c r="B16" i="50"/>
  <c r="B15" i="50"/>
  <c r="B14" i="50"/>
  <c r="B12" i="50"/>
  <c r="B11" i="50"/>
  <c r="B9" i="50"/>
  <c r="B7" i="50"/>
  <c r="B5" i="50"/>
  <c r="E12" i="55"/>
  <c r="E11" i="55"/>
  <c r="E8" i="55"/>
  <c r="E7" i="55"/>
  <c r="B12" i="55"/>
  <c r="C4" i="56"/>
  <c r="B4" i="56"/>
  <c r="F9" i="14"/>
  <c r="F8" i="14"/>
  <c r="F7" i="14"/>
  <c r="F6" i="14"/>
  <c r="F5" i="14"/>
  <c r="B9" i="14"/>
  <c r="B8" i="14"/>
  <c r="B7" i="14"/>
  <c r="B6" i="14"/>
  <c r="B5" i="14"/>
  <c r="G7" i="12"/>
  <c r="F18" i="11"/>
  <c r="F15" i="11"/>
  <c r="F11" i="11"/>
  <c r="F7" i="11"/>
  <c r="I34" i="9"/>
  <c r="H34" i="9"/>
  <c r="F34" i="9"/>
  <c r="E34" i="9"/>
  <c r="D34" i="9"/>
  <c r="C34" i="9"/>
  <c r="I30" i="9"/>
  <c r="H30" i="9"/>
  <c r="F30" i="9"/>
  <c r="E30" i="9"/>
  <c r="D30" i="9"/>
  <c r="C30" i="9"/>
  <c r="B30" i="9"/>
  <c r="I10" i="9"/>
  <c r="F10" i="9"/>
  <c r="E10" i="9"/>
  <c r="D10" i="9"/>
  <c r="C10" i="9"/>
  <c r="B10" i="9"/>
  <c r="I6" i="9"/>
  <c r="H6" i="9"/>
  <c r="F6" i="9"/>
  <c r="E6" i="9"/>
  <c r="D6" i="9"/>
  <c r="C6" i="9"/>
  <c r="B6" i="9"/>
  <c r="H44" i="7"/>
  <c r="H41" i="7"/>
  <c r="J41" i="7" s="1"/>
  <c r="G39" i="7"/>
  <c r="F39" i="7"/>
  <c r="E39" i="7"/>
  <c r="D39" i="7"/>
  <c r="C39" i="7"/>
  <c r="G36" i="7"/>
  <c r="F36" i="7"/>
  <c r="E36" i="7"/>
  <c r="D36" i="7"/>
  <c r="I34" i="7"/>
  <c r="H34" i="7"/>
  <c r="G34" i="7"/>
  <c r="F34" i="7"/>
  <c r="E34" i="7"/>
  <c r="D34" i="7"/>
  <c r="C34" i="7"/>
  <c r="B34" i="7"/>
  <c r="I30" i="7"/>
  <c r="H30" i="7"/>
  <c r="G30" i="7"/>
  <c r="F30" i="7"/>
  <c r="E30" i="7"/>
  <c r="D30" i="7"/>
  <c r="C30" i="7"/>
  <c r="B30" i="7"/>
  <c r="H17" i="7"/>
  <c r="J17" i="7" s="1"/>
  <c r="J20" i="7" s="1"/>
  <c r="G15" i="7"/>
  <c r="F15" i="7"/>
  <c r="E15" i="7"/>
  <c r="D15" i="7"/>
  <c r="C15" i="7"/>
  <c r="G12" i="7"/>
  <c r="F12" i="7"/>
  <c r="E12" i="7"/>
  <c r="D12" i="7"/>
  <c r="C12" i="7"/>
  <c r="I10" i="7"/>
  <c r="H10" i="7"/>
  <c r="G10" i="7"/>
  <c r="F10" i="7"/>
  <c r="E10" i="7"/>
  <c r="D10" i="7"/>
  <c r="C10" i="7"/>
  <c r="B10" i="7"/>
  <c r="I6" i="7"/>
  <c r="H6" i="7"/>
  <c r="G6" i="7"/>
  <c r="F6" i="7"/>
  <c r="E6" i="7"/>
  <c r="D6" i="7"/>
  <c r="C6" i="7"/>
  <c r="B6" i="7"/>
  <c r="J36" i="7" l="1"/>
  <c r="J30" i="7"/>
  <c r="J30" i="9"/>
  <c r="J12" i="7"/>
  <c r="J15" i="7" s="1"/>
  <c r="F19" i="11"/>
  <c r="J6" i="7"/>
  <c r="J6" i="9"/>
  <c r="G45" i="5"/>
  <c r="G42" i="5"/>
  <c r="F40" i="5"/>
  <c r="E40" i="5"/>
  <c r="D40" i="5"/>
  <c r="C40" i="5"/>
  <c r="B40" i="5"/>
  <c r="F37" i="5"/>
  <c r="E37" i="5"/>
  <c r="D37" i="5"/>
  <c r="C37" i="5"/>
  <c r="B37" i="5"/>
  <c r="H35" i="5"/>
  <c r="G35" i="5"/>
  <c r="F35" i="5"/>
  <c r="E35" i="5"/>
  <c r="D35" i="5"/>
  <c r="C35" i="5"/>
  <c r="B35" i="5"/>
  <c r="H31" i="5"/>
  <c r="F31" i="5"/>
  <c r="E31" i="5"/>
  <c r="D31" i="5"/>
  <c r="B31" i="5"/>
  <c r="B6" i="5"/>
  <c r="G20" i="5"/>
  <c r="G17" i="5"/>
  <c r="F15" i="5"/>
  <c r="E15" i="5"/>
  <c r="D15" i="5"/>
  <c r="C15" i="5"/>
  <c r="B15" i="5"/>
  <c r="F12" i="5"/>
  <c r="D12" i="5"/>
  <c r="C12" i="5"/>
  <c r="H10" i="5"/>
  <c r="G10" i="5"/>
  <c r="F10" i="5"/>
  <c r="D10" i="5"/>
  <c r="B10" i="5"/>
  <c r="H6" i="5"/>
  <c r="G6" i="5"/>
  <c r="F6" i="5"/>
  <c r="D6" i="5"/>
  <c r="C6" i="5"/>
  <c r="J10" i="7" l="1"/>
  <c r="D5" i="38"/>
  <c r="J39" i="9" l="1"/>
  <c r="J15" i="9"/>
  <c r="J20" i="9"/>
  <c r="J44" i="9"/>
  <c r="J22" i="9"/>
  <c r="J10" i="9"/>
  <c r="J46" i="9"/>
  <c r="J34" i="9"/>
  <c r="J23" i="9" l="1"/>
  <c r="J47" i="9"/>
  <c r="F10" i="43"/>
  <c r="E4" i="43"/>
  <c r="B4" i="43"/>
  <c r="C3" i="41"/>
  <c r="B3" i="39"/>
  <c r="B6" i="39"/>
  <c r="C3" i="39"/>
  <c r="F43" i="50"/>
  <c r="B20" i="50"/>
  <c r="F20" i="50"/>
  <c r="E23" i="27" l="1"/>
  <c r="D23" i="27"/>
  <c r="C23" i="27"/>
  <c r="E29" i="27"/>
  <c r="C29" i="27"/>
  <c r="E11" i="27"/>
  <c r="I44" i="5"/>
  <c r="I43" i="5"/>
  <c r="I42" i="5"/>
  <c r="I39" i="5"/>
  <c r="I38" i="5"/>
  <c r="I37" i="5"/>
  <c r="I34" i="5"/>
  <c r="I33" i="5"/>
  <c r="I32" i="5"/>
  <c r="I31" i="5"/>
  <c r="I45" i="5" l="1"/>
  <c r="I35" i="5"/>
  <c r="I40" i="5"/>
  <c r="I46" i="7" l="1"/>
  <c r="H46" i="7"/>
  <c r="G46" i="7"/>
  <c r="F46" i="7"/>
  <c r="E46" i="7"/>
  <c r="D46" i="7"/>
  <c r="C46" i="7"/>
  <c r="B46" i="7"/>
  <c r="I19" i="5"/>
  <c r="I18" i="5"/>
  <c r="I17" i="5"/>
  <c r="I14" i="5"/>
  <c r="I13" i="5"/>
  <c r="I12" i="5"/>
  <c r="I9" i="5"/>
  <c r="I8" i="5"/>
  <c r="I7" i="5"/>
  <c r="I6" i="5"/>
  <c r="F35" i="27"/>
  <c r="F28" i="27"/>
  <c r="F27" i="27"/>
  <c r="F26" i="27"/>
  <c r="F25" i="27"/>
  <c r="F24" i="27"/>
  <c r="F17" i="27"/>
  <c r="F10" i="27"/>
  <c r="F9" i="27"/>
  <c r="F8" i="27"/>
  <c r="F7" i="27"/>
  <c r="F6" i="27"/>
  <c r="E5" i="27"/>
  <c r="D5" i="27"/>
  <c r="C5" i="27"/>
  <c r="D13" i="56"/>
  <c r="C13" i="56"/>
  <c r="B13" i="56"/>
  <c r="B8" i="37"/>
  <c r="D13" i="55"/>
  <c r="C13" i="55"/>
  <c r="B13" i="55"/>
  <c r="I20" i="5" l="1"/>
  <c r="J39" i="7"/>
  <c r="I15" i="5"/>
  <c r="I10" i="5"/>
  <c r="C47" i="7"/>
  <c r="G47" i="7"/>
  <c r="I22" i="5"/>
  <c r="B47" i="7"/>
  <c r="F47" i="7"/>
  <c r="J34" i="7"/>
  <c r="J44" i="7"/>
  <c r="E47" i="7"/>
  <c r="I47" i="7"/>
  <c r="D47" i="7"/>
  <c r="H47" i="7"/>
  <c r="J46" i="7"/>
  <c r="I47" i="5"/>
  <c r="E13" i="55"/>
  <c r="F9" i="52"/>
  <c r="E9" i="52"/>
  <c r="D9" i="52"/>
  <c r="C9" i="52"/>
  <c r="I48" i="5" l="1"/>
  <c r="I23" i="5"/>
  <c r="J47" i="7"/>
  <c r="C9" i="40"/>
  <c r="C8" i="37"/>
  <c r="D8" i="37"/>
  <c r="E8" i="37"/>
  <c r="F8" i="37"/>
  <c r="G8" i="37"/>
  <c r="C7" i="36"/>
  <c r="D7" i="36"/>
  <c r="E7" i="36"/>
  <c r="F7" i="36"/>
  <c r="G7" i="36"/>
  <c r="B7" i="36"/>
  <c r="C8" i="35"/>
  <c r="B8" i="35"/>
  <c r="B26" i="26"/>
  <c r="B14" i="26"/>
  <c r="C7" i="25"/>
  <c r="D7" i="25"/>
  <c r="E7" i="25"/>
  <c r="F7" i="25"/>
  <c r="G7" i="25"/>
  <c r="B7" i="25"/>
  <c r="E5" i="21"/>
  <c r="D5" i="21"/>
  <c r="C5" i="21"/>
  <c r="B5" i="21"/>
  <c r="C8" i="20"/>
  <c r="B8" i="20"/>
  <c r="C19" i="18"/>
  <c r="B19" i="18"/>
  <c r="C10" i="18"/>
  <c r="B10" i="18"/>
  <c r="F10" i="14"/>
  <c r="F11" i="14"/>
  <c r="C12" i="14"/>
  <c r="D12" i="14"/>
  <c r="E12" i="14"/>
  <c r="B12" i="14"/>
  <c r="E7" i="13"/>
  <c r="D7" i="13"/>
  <c r="C7" i="13"/>
  <c r="B7" i="13"/>
  <c r="F6" i="13"/>
  <c r="F5" i="13"/>
  <c r="F4" i="13"/>
  <c r="F3" i="13"/>
  <c r="G6" i="12"/>
  <c r="G5" i="12"/>
  <c r="G4" i="12"/>
  <c r="G3" i="12"/>
  <c r="F5" i="21" l="1"/>
  <c r="F12" i="14"/>
  <c r="D10" i="18"/>
  <c r="D19" i="18"/>
  <c r="F7" i="13"/>
  <c r="B10" i="4"/>
  <c r="D10" i="4"/>
  <c r="E10" i="4"/>
  <c r="C10" i="4"/>
</calcChain>
</file>

<file path=xl/sharedStrings.xml><?xml version="1.0" encoding="utf-8"?>
<sst xmlns="http://schemas.openxmlformats.org/spreadsheetml/2006/main" count="3167" uniqueCount="1516">
  <si>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</si>
  <si>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</si>
  <si>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</si>
  <si>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</si>
  <si>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</si>
  <si>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</si>
  <si>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</si>
  <si>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2. Informácie k časti B. písm. b) prílohy č. 3 o štruktúre spoločníkov, akcionárov ku dňu, ku ktorému sa zostavuje účtovná závierka a o štruktúre spoločníkov, akcionárov do dňa jej zmeny  vzniknutej v priebehu účtovného obdobia</t>
  </si>
  <si>
    <t>Tabuľka č. 1</t>
  </si>
  <si>
    <t>Spoločník, akcionár</t>
  </si>
  <si>
    <t>Výška podielu na základnom imaní</t>
  </si>
  <si>
    <t>Podiel na hlasovacích právach v %</t>
  </si>
  <si>
    <t>v %</t>
  </si>
  <si>
    <t>absolútne</t>
  </si>
  <si>
    <t>Spolu</t>
  </si>
  <si>
    <t>Tabuľka č. 2</t>
  </si>
  <si>
    <t>Spoločník, akcionár do dňa zmeny  v štruktúre spoločníkov, akcionárov</t>
  </si>
  <si>
    <t>Dátum zmeny</t>
  </si>
  <si>
    <t>x</t>
  </si>
  <si>
    <t>3. Informácie k časti F. písm. a) prílohy č. 3 o dlhodobom nehmotnom majetku</t>
  </si>
  <si>
    <t>Dlhodobý nehmotný majetok</t>
  </si>
  <si>
    <t>Softvér</t>
  </si>
  <si>
    <t>Goodwill</t>
  </si>
  <si>
    <t>Ostatný DNM</t>
  </si>
  <si>
    <t>Poskytnuté preddavky na DNM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</si>
  <si>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</si>
  <si>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</si>
  <si>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</si>
  <si>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</si>
  <si>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</si>
  <si>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</si>
  <si>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</si>
  <si>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</si>
  <si>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</si>
  <si>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 </t>
  </si>
  <si>
    <t>4. Informácie k časti F. písm. c) prílohy č. 3 o dlhodobom nehmotnom majetku</t>
  </si>
  <si>
    <t>Hodnota za bežné účtovné obdobie</t>
  </si>
  <si>
    <t>Dlhodobý nehmotný majetok, na ktorý je zriadené záložné právo</t>
  </si>
  <si>
    <t>Dlhodobý nehmotný majetok, pri ktorom má účtovná jednotka obmedzené právo s ním nakladať</t>
  </si>
  <si>
    <t>5.  Informácie k časti F. písm. a) prílohy č. 3 o dlhodobom hmotnom majetku</t>
  </si>
  <si>
    <t>Dlhodobý hmotný majetok</t>
  </si>
  <si>
    <t>Pozemky</t>
  </si>
  <si>
    <t>Stavby</t>
  </si>
  <si>
    <t>Samostatné hnuteľné veci a súbory hnuteľných vecí</t>
  </si>
  <si>
    <t>Základné stádo a ťažné zvieratá</t>
  </si>
  <si>
    <t>Ostatný DHM</t>
  </si>
  <si>
    <t>Poskytnuté preddavky na DHM</t>
  </si>
  <si>
    <t xml:space="preserve">6. Informácie k časti F. písm. c) prílohy č. 3 o dlhodobom hmotnom majetku </t>
  </si>
  <si>
    <t>Dlhodobý hmotný majetok, na ktorý je zriadené záložné právo</t>
  </si>
  <si>
    <t>Dlhodobý hmotný majetok, pri ktorom má účtovná jednotka obmedzené právo s ním nakladať</t>
  </si>
  <si>
    <t>7. Informácie k časti F. písm. j) prílohy č. 3 o  dlhodobom finančnom majetku</t>
  </si>
  <si>
    <t>Podielové CP a podiely v DÚJ</t>
  </si>
  <si>
    <t>Ostatné dlhodobé CP a podiely</t>
  </si>
  <si>
    <t>Ostatný DFM</t>
  </si>
  <si>
    <t>Pôžičky s dobou splatnosti najviac jeden rok</t>
  </si>
  <si>
    <t>Dlhodobý finančný majetok</t>
  </si>
  <si>
    <t xml:space="preserve">8. Informácie k časti F. písm. m) prílohy č. 3 o dlhodobom finančnom majetku </t>
  </si>
  <si>
    <t>Dlhodobý finančný majetok, na ktorý je zriadené záložné právo</t>
  </si>
  <si>
    <t>Dlhodobý finančný majetok, pri ktorom má účtovná jednotka obmedzené právo s ním nakladať</t>
  </si>
  <si>
    <t>9. Informácie k časti F. písm. i) prílohy č. 3 o štruktúre dlhodobého finančného majetku</t>
  </si>
  <si>
    <t>Obchodné meno a sídlo spoločnosti, v ktorej má ÚJ umiestnený DFM</t>
  </si>
  <si>
    <t>Podiel ÚJ na ZI v  %</t>
  </si>
  <si>
    <t>Podiel ÚJ na hlasovacích právach v %</t>
  </si>
  <si>
    <t>Hodnota</t>
  </si>
  <si>
    <t>Účtovná hodnota DFM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</si>
  <si>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</si>
  <si>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</si>
  <si>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</si>
  <si>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</si>
  <si>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Dlhodobý finančný majetok spolu</t>
  </si>
  <si>
    <t>10. Informácie k časti F. písm. j) a l) prílohy č. 3 o dlhových CP držaných do splatnosti</t>
  </si>
  <si>
    <t>Druh CP</t>
  </si>
  <si>
    <t>Zvýšenie hodnoty</t>
  </si>
  <si>
    <t>Zníženie hodnoty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</si>
  <si>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</si>
  <si>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</si>
  <si>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</si>
  <si>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</si>
  <si>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</si>
  <si>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Stav na konci účtovného obdobia</t>
  </si>
  <si>
    <t>11. Informácie k časti F. písm. j) a l) prílohy č. 3 o poskytnutých dlhodobých pôžičkách</t>
  </si>
  <si>
    <t>Dlhodobé pôžičky</t>
  </si>
  <si>
    <t>Do splatnosti od troch rokov do piatich rokov vrátane</t>
  </si>
  <si>
    <t>Do splatnosti  od jedného roka do troch rokov vrátane</t>
  </si>
  <si>
    <t>Dlhodobé pôžičky spolu</t>
  </si>
  <si>
    <t>12. Informácie k časti F. písm. o) prílohy č. 3 o opravných položkách k zásobám</t>
  </si>
  <si>
    <t>Zásoby</t>
  </si>
  <si>
    <t>Stav  OP na začiatku účtovného obdobia</t>
  </si>
  <si>
    <t>Zúčtovanie OP z dôvodu zániku opodstatnenosti</t>
  </si>
  <si>
    <t>Stav OP na konci účtovného obdobia</t>
  </si>
  <si>
    <t>Materiál</t>
  </si>
  <si>
    <t>Výrobky</t>
  </si>
  <si>
    <t xml:space="preserve">Zvieratá </t>
  </si>
  <si>
    <t>Tovar</t>
  </si>
  <si>
    <t>Nehnuteľnosť na predaj</t>
  </si>
  <si>
    <t>Zásoby spolu</t>
  </si>
  <si>
    <t>Náklady na obstarávanie nehnuteľnosti  na predaj za účtovné obdobie</t>
  </si>
  <si>
    <t>Náklady na obstaranie nehnuteľnosti na predaj od začiatku obstarávania</t>
  </si>
  <si>
    <t>Nedokončená výroba a polotovary vlastnej výroby</t>
  </si>
  <si>
    <t>13. Informácie k časti F. písm. p) prílohy č. 3 o zásobách, na ktoré je zriadené záložné právo a o zásobách, pri ktorých má účtovná jednotka obmedzené právo s nimi nakladať</t>
  </si>
  <si>
    <t>Zásoby, na ktoré je zriadené záložné právo</t>
  </si>
  <si>
    <t>Zásoby, pri ktorých má účtovná jednotka obmedzené právo s nimi nakladať</t>
  </si>
  <si>
    <t>14. Informácie k časti F. písm. q) prílohy č. 3 o zákazkovej výrobe a o zákazkovej výstavbe nehnuteľnosti určenej na predaj</t>
  </si>
  <si>
    <t>Za bežné účtovné obdobie</t>
  </si>
  <si>
    <t>Za bezprostredne predchádzajúce účtovné obdobie</t>
  </si>
  <si>
    <t>Sumár od začiatku zákazkovej výroby až do konca bežného účtovného obdobia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</si>
  <si>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</si>
  <si>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</si>
  <si>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</si>
  <si>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</si>
  <si>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</si>
  <si>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</si>
  <si>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 xml:space="preserve">Suma prijatých preddavkov 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</si>
  <si>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</si>
  <si>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</si>
  <si>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</si>
  <si>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</si>
  <si>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</si>
  <si>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</si>
  <si>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</si>
  <si>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</si>
  <si>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15. Informácie k časti F. písm. r) prílohy č. 3 o vývoji opravnej položky  k pohľadávkam</t>
  </si>
  <si>
    <t>Pohľadávky</t>
  </si>
  <si>
    <t>Stav OP na začiatku účtovného obdobia</t>
  </si>
  <si>
    <t>Tvorba</t>
  </si>
  <si>
    <t xml:space="preserve">Pohľadávky z obchodného styku </t>
  </si>
  <si>
    <t>Pohľadávky voči dcérskej účtovnej jednotke a materskej účtovnej jednotke</t>
  </si>
  <si>
    <t>Pohľadávky voči spoločníkom, členom a združeniu</t>
  </si>
  <si>
    <t>Iné pohľadávky</t>
  </si>
  <si>
    <t>Pohľadávky spolu</t>
  </si>
  <si>
    <t>16. Informácie k časti F. písm. s) prílohy č. 3 o  vekovej štruktúre pohľadávok</t>
  </si>
  <si>
    <t>Názov položky</t>
  </si>
  <si>
    <t>V lehote splatnosti</t>
  </si>
  <si>
    <t>Po lehote splatnosti</t>
  </si>
  <si>
    <t>Dlhodobé pohľadávky</t>
  </si>
  <si>
    <t>Pohľadávky  z obchodného styku</t>
  </si>
  <si>
    <t>Ostatné pohľadávky v rámci konsolidovaného celku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</si>
  <si>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</si>
  <si>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</si>
  <si>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</si>
  <si>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</si>
  <si>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</si>
  <si>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</si>
  <si>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Pohľadávky po lehote splatnosti</t>
  </si>
  <si>
    <t>Pohľadávky so zostatkovou dobou splatnosti  jeden rok až päť rokov</t>
  </si>
  <si>
    <t>Pohľadávky so zostatkovou dobou splatnosti dlhšou ako päť rokov</t>
  </si>
  <si>
    <t xml:space="preserve">17. Informácie k časti F. písm. t) a u) prílohy č. 3  o pohľadávkach zabezpečených záložným právom alebo inou formou zabezpečenia   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</si>
  <si>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</si>
  <si>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</si>
  <si>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</si>
  <si>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</si>
  <si>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</si>
  <si>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>Hodnota pohľadávok, pri ktorých je obmedzené právo s nimi nakladať</t>
  </si>
  <si>
    <t>18. Informácie k časti F. písm. w)  prílohy č. 3 o krátkodobom finančnom majetku</t>
  </si>
  <si>
    <t xml:space="preserve"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</si>
  <si>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</si>
  <si>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</si>
  <si>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</si>
  <si>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</si>
  <si>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</si>
  <si>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</si>
  <si>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</si>
  <si>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</si>
  <si>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</si>
  <si>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</si>
  <si>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</si>
  <si>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</si>
  <si>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19. Informácie k časti  F. písm. x) prílohy č. 3 o vývoji opravnej položky ku krátkodobému finančnému majetku</t>
  </si>
  <si>
    <t>Krátkodobý finančný majetok</t>
  </si>
  <si>
    <t>Stav OP  na začiatku účtovného obdobia</t>
  </si>
  <si>
    <t>Tvorba OP</t>
  </si>
  <si>
    <t>Stav  OP na konci účtovného obdobia</t>
  </si>
  <si>
    <t>Krátkodobý  finančný majetok, na ktorý bolo zriadené záložné právo</t>
  </si>
  <si>
    <t>Krátkodobý  finančný majetok, pri ktorom je obmedzené právo s ním nakladať</t>
  </si>
  <si>
    <t>20. Informácie k časti F. písm. y) prílohy č. 3 o krátkodobom finančnom majetku, na ktorý bolo zriadené záložné právo a o krátkodobom finančnom majetku, pri ktorom má účtovná jednotka obmedzené právo s ním nakladať</t>
  </si>
  <si>
    <t>21. Informácie k časti F. písm.  za) prílohy č. 3 o ocenení krátkodobého finančného  majetku, ku dňu ku ktorému sa zostavuje účtovná závierka reálnou hodnotou</t>
  </si>
  <si>
    <t>Emisné kvóty (komodity)</t>
  </si>
  <si>
    <t>22. Informácie k časti F. písm.  zb) prílohy č. 3 o významných položkách časového rozlíšenia na strane aktív</t>
  </si>
  <si>
    <t>Opis položky časového rozlíšenia</t>
  </si>
  <si>
    <t xml:space="preserve">Náklady budúcich období dlhodobé,  z toho: </t>
  </si>
  <si>
    <t>Náklady budúcich období krátkodobé, z toho:</t>
  </si>
  <si>
    <t>Príjmy budúcich období dlhodobé, z toho:</t>
  </si>
  <si>
    <t>Príjmy budúcich období krátkodobé, z toho:</t>
  </si>
  <si>
    <t>23. Informácie k časti F. písm. zc) prílohy č. 3 o majetku prenajatom formou finančného prenájmu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</si>
  <si>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</si>
  <si>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</si>
  <si>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</si>
  <si>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</si>
  <si>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</si>
  <si>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</si>
  <si>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 xml:space="preserve">24. Informácie k časti G. písm. a) tretiemu bodu prílohy č. 3 o rozdelení účtovného zisku alebo o vysporiadaní účtovnej straty 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</si>
  <si>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</si>
  <si>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</si>
  <si>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</si>
  <si>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</si>
  <si>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</si>
  <si>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</si>
  <si>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</si>
  <si>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</si>
  <si>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</si>
  <si>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 xml:space="preserve"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</si>
  <si>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</si>
  <si>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</si>
  <si>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</si>
  <si>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</si>
  <si>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</si>
  <si>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</si>
  <si>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</si>
  <si>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 xml:space="preserve">Spolu </t>
  </si>
  <si>
    <t>25. Informácie k časti G. písm. b) prílohy č. 3 o rezervách</t>
  </si>
  <si>
    <t>Použitie</t>
  </si>
  <si>
    <t>Zrušenie</t>
  </si>
  <si>
    <t>Dlhodobé rezervy, z toho:</t>
  </si>
  <si>
    <t>Krátkodobé rezervy, z toho:</t>
  </si>
  <si>
    <t>26. Informácie k časti G. písm. c) a d) prílohy č. 3 o záväzkoch</t>
  </si>
  <si>
    <t>Záväzky po lehote splatnosti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</si>
  <si>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</si>
  <si>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</si>
  <si>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</si>
  <si>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</si>
  <si>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</si>
  <si>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</si>
  <si>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</si>
  <si>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</si>
  <si>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</si>
  <si>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</si>
  <si>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</si>
  <si>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</si>
  <si>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</si>
  <si>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 ako zníženie nákladov</t>
  </si>
  <si>
    <t>Zaúčtovaná do vlastného imania</t>
  </si>
  <si>
    <t>Odložený daňový záväzok</t>
  </si>
  <si>
    <t>Zmena odloženého daňového záväzku</t>
  </si>
  <si>
    <t>Zaúčtovaná ako náklad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</si>
  <si>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</si>
  <si>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</si>
  <si>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</si>
  <si>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</si>
  <si>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</si>
  <si>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</si>
  <si>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</si>
  <si>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 vydaného dlhopisu</t>
  </si>
  <si>
    <t>Menovitá hodnota</t>
  </si>
  <si>
    <t>Počet</t>
  </si>
  <si>
    <t>Emisný kurz</t>
  </si>
  <si>
    <t>Úrok</t>
  </si>
  <si>
    <t>Mena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</si>
  <si>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</si>
  <si>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</si>
  <si>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</si>
  <si>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</si>
  <si>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</si>
  <si>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t>31. Informácie k časti G. písm. j) prílohy č. 3 o významných položkách časového rozlíšenia na strane pasív</t>
  </si>
  <si>
    <t>Výdavky budúcich období dlhodobé, z toho:</t>
  </si>
  <si>
    <t>Výdavky budúcich období krátkodobé, z toho:</t>
  </si>
  <si>
    <t>32. Informácie k časti  G. písm. k) prílohy č. 3 o významných položkách derivátov za bežné účtovné obdobie</t>
  </si>
  <si>
    <t>Účtovná hodnota</t>
  </si>
  <si>
    <t>Dohodnutá cena  podkladového nástroja</t>
  </si>
  <si>
    <t>pohľadávky</t>
  </si>
  <si>
    <t>záväzku</t>
  </si>
  <si>
    <t>Deriváty určené na obchodovanie, z toho: </t>
  </si>
  <si>
    <t>Zabezpečovacie deriváty, z toho:</t>
  </si>
  <si>
    <t>Zmena reálnej hodnoty (+/-) s vplyvom na</t>
  </si>
  <si>
    <t>výsledok hospodárenia</t>
  </si>
  <si>
    <t>vlastné imanie</t>
  </si>
  <si>
    <t>33. Informácie k časti G. písm. l) prílohy č. 3 o položkách zabezpečených derivátmi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</si>
  <si>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</si>
  <si>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</si>
  <si>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</si>
  <si>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</si>
  <si>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</si>
  <si>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</si>
  <si>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34. Informácie k časti G. písm. m) prílohy č. 3 o majetku prenajatom formou finančného prenájmu</t>
  </si>
  <si>
    <t>Finančný náklad</t>
  </si>
  <si>
    <t>35. Informácie k časti H. písm. a) prílohy č. 3 o tržbách</t>
  </si>
  <si>
    <t>Oblasť odbytu</t>
  </si>
  <si>
    <t>Typ výrobkov, tovarov, služieb  (napríklad A)</t>
  </si>
  <si>
    <t>Typ výrobkov, tovarov, služieb  (napríklad B)</t>
  </si>
  <si>
    <t>Typ výrobkov, tovarov, služieb  (napríklad C)</t>
  </si>
  <si>
    <t>36. Informácie k časti H. písm. b) prílohy č. 3 o zmene stavu vnútroorganizačných zásob</t>
  </si>
  <si>
    <t>Zmena stavu vnútroorganizačných zásob</t>
  </si>
  <si>
    <t>Konečný zostatok</t>
  </si>
  <si>
    <t>Začiatočný stav</t>
  </si>
  <si>
    <t>Zvieratá</t>
  </si>
  <si>
    <t>Manká a škody</t>
  </si>
  <si>
    <t>Reprezentačné</t>
  </si>
  <si>
    <t>Dary</t>
  </si>
  <si>
    <t>Iné</t>
  </si>
  <si>
    <t>Zmena stavu vnútroorga-nizačných zásob vo výkaze ziskov a strát</t>
  </si>
  <si>
    <t>37.  Informácie k časti H. písm. c) až f)  prílohy č. 3 o výnosoch pri aktivácii nákladov a o výnosoch z hospodárskej činnosti, finančnej činnosti a mimoriadnej činnosti</t>
  </si>
  <si>
    <t>Ostatné významné položky výnosov z hospodárskej činnosti, z toho:</t>
  </si>
  <si>
    <t>Finančné výnosy, z toho:</t>
  </si>
  <si>
    <t>Kurzové zisky, z toho:</t>
  </si>
  <si>
    <t>kurzové zisky ku dňu, ku ktorému sa zostavuje účtovná závierka</t>
  </si>
  <si>
    <t>Ostatné významné položky finančných výnosov, z toho:</t>
  </si>
  <si>
    <t>Mimoriadne výnosy, z toho:</t>
  </si>
  <si>
    <t>38. Informácie k časti H. písm. g)  prílohy č. 3 o čistom obrate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</si>
  <si>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</si>
  <si>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</si>
  <si>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</si>
  <si>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</si>
  <si>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</si>
  <si>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</si>
  <si>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</si>
  <si>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39. Informácie k časti I. prílohy č. 3 o nákladoch</t>
  </si>
  <si>
    <t>Náklady za poskytnuté služby, z toho:</t>
  </si>
  <si>
    <t>Náklady voči audítorovi, audítorskej spoločnosti, z toho: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</si>
  <si>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</si>
  <si>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</si>
  <si>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</si>
  <si>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</si>
  <si>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</si>
  <si>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Ostatné významné položky nákladov za poskytnuté služby, z toho:</t>
  </si>
  <si>
    <t>Ostatné významné položky nákladov z hospodárskej činnosti, z toho:</t>
  </si>
  <si>
    <t>Finančné náklady, z toho:</t>
  </si>
  <si>
    <t>Kurzové straty, z toho:</t>
  </si>
  <si>
    <t>kurzové straty ku dňu, ku ktorému sa zostavuje účtovná závierka</t>
  </si>
  <si>
    <t>Ostatné významné položky finančných nákladov, z toho:</t>
  </si>
  <si>
    <t>Mimoriadne náklady, z toho:</t>
  </si>
  <si>
    <t>40. Informácie k časti J. písm. a) až e) prílohy č. 3 o daniach z príjmov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</si>
  <si>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</si>
  <si>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</si>
  <si>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</si>
  <si>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</si>
  <si>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</si>
  <si>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</si>
  <si>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41. Informácie k časti J.  písm. f) a g) prílohy č. 3 o daniach z príjmov</t>
  </si>
  <si>
    <t>Základ dane</t>
  </si>
  <si>
    <t>Daň</t>
  </si>
  <si>
    <t>Daň v %</t>
  </si>
  <si>
    <t>Výsledok hospodárenia pred  zdanením, z toho:</t>
  </si>
  <si>
    <t xml:space="preserve"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</si>
  <si>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</si>
  <si>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</si>
  <si>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</si>
  <si>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</si>
  <si>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</si>
  <si>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 xml:space="preserve">Celková daň z príjmov </t>
  </si>
  <si>
    <t>42. Informácie k  časť K. prílohy č. 3 o podsúvahových položkách</t>
  </si>
  <si>
    <t>Prenajatý majetok</t>
  </si>
  <si>
    <t>Majetok v nájme (operatívny prenájom)</t>
  </si>
  <si>
    <t>Majetok prijatý do úschovy</t>
  </si>
  <si>
    <t>Pohľadávky z derivátov</t>
  </si>
  <si>
    <t>Záväzky z opcií derivátov</t>
  </si>
  <si>
    <t>Odpísané pohľadávky</t>
  </si>
  <si>
    <t>Pohľadávky z leasingu</t>
  </si>
  <si>
    <t>Záväzky z leasingu</t>
  </si>
  <si>
    <t>Iné položky</t>
  </si>
  <si>
    <t>43. Informácie k časti L. písm. a) prílohy č. 3 o podmienených záväzkoch</t>
  </si>
  <si>
    <t>Druh podmieneného záväzku</t>
  </si>
  <si>
    <t xml:space="preserve">Bežné účtovné obdobie                      </t>
  </si>
  <si>
    <t>Hodnota celkom</t>
  </si>
  <si>
    <t>Hodnota voči spriazneným osobám</t>
  </si>
  <si>
    <t>Zo súdnych rozhodnutí</t>
  </si>
  <si>
    <t>Z poskytnutých záruk</t>
  </si>
  <si>
    <t>Zo všeobecne záväzných právnych predpisov</t>
  </si>
  <si>
    <t>Zo zmluvy o podriadenom záväzku</t>
  </si>
  <si>
    <t>Z ručenia</t>
  </si>
  <si>
    <t>Iné podmienené záväzky</t>
  </si>
  <si>
    <t xml:space="preserve">Bezprostredne predchádzajúce účtovné obdobie                      </t>
  </si>
  <si>
    <t>44. Informácie k časti L. písm. c) prílohy č. 3 o podmienenom majetku</t>
  </si>
  <si>
    <t>Druh podmieneného majetku</t>
  </si>
  <si>
    <t xml:space="preserve">Bežné účtovné obdobie                               </t>
  </si>
  <si>
    <t xml:space="preserve">Bezprostredne predchádzajúce účtovné obdobie                                                                            </t>
  </si>
  <si>
    <t>Práva zo servisných zmlúv</t>
  </si>
  <si>
    <t>Práva z poistných zmlúv</t>
  </si>
  <si>
    <t>Práva z koncesionárskych zmlúv</t>
  </si>
  <si>
    <t>Práva z licenčných zmlúv</t>
  </si>
  <si>
    <t>Práva z privatizácie</t>
  </si>
  <si>
    <t>Práva zo súdnych sporov</t>
  </si>
  <si>
    <t>Iné práva</t>
  </si>
  <si>
    <t>45. Informácie k časti M. prílohy č. 3 o príjmoch a výhodách členov štatutárnych orgánov, dozorných orgánov a iných orgánov</t>
  </si>
  <si>
    <t>Druh príjmu, výhody</t>
  </si>
  <si>
    <t>Hodnota  príjmu, výhody súčasných členov orgánov</t>
  </si>
  <si>
    <t xml:space="preserve">Hodnota príjmu, výhody bývalých členov orgánov                                                        </t>
  </si>
  <si>
    <t>štatutárnych</t>
  </si>
  <si>
    <t>dozorných</t>
  </si>
  <si>
    <t>iných</t>
  </si>
  <si>
    <t>Časť 1 - Bežné účtovné obdobie</t>
  </si>
  <si>
    <t>Časť 2 - Bezprostredne predchádzajúce účtovné obdobie</t>
  </si>
  <si>
    <t>Peňažné príjmy</t>
  </si>
  <si>
    <t>Nepeňažné príjmy</t>
  </si>
  <si>
    <t>Peňažné  preddavky</t>
  </si>
  <si>
    <t>Nepeňažné preddavky</t>
  </si>
  <si>
    <t>Poskytnuté úvery</t>
  </si>
  <si>
    <t>Poskytnuté záruky</t>
  </si>
  <si>
    <t>46. Informácie k časti N. prílohy č. 3 o ekonomických vzťahoch medzi účtovnou jednotkou a spriaznenými osobami</t>
  </si>
  <si>
    <t>Spriaznená osoba </t>
  </si>
  <si>
    <t>Kód druhu obchodu</t>
  </si>
  <si>
    <t>Hodnotové vyjadrenie obchodu</t>
  </si>
  <si>
    <t xml:space="preserve">Bezprostredne predchádzajúce účtovné obdobie                                             </t>
  </si>
  <si>
    <t xml:space="preserve">Tabuľka č. 2 </t>
  </si>
  <si>
    <t>Stav na konci účtovného obdobia</t>
  </si>
  <si>
    <t>Základné imanie</t>
  </si>
  <si>
    <t>Vlastné akcie a vlastné obchodné podiely</t>
  </si>
  <si>
    <t>Emisné ážio</t>
  </si>
  <si>
    <t>Ostatné kapitálové fondy</t>
  </si>
  <si>
    <t>Zákonný rezervný fond (nedeliteľný fond) z kapitálových vkladov</t>
  </si>
  <si>
    <t>Oceňovacie rozdiely z kapitálových účastín</t>
  </si>
  <si>
    <t>Zákonný rezervný fond</t>
  </si>
  <si>
    <t>Nedeliteľný fond</t>
  </si>
  <si>
    <t>Štatutárne fondy a ostatné fondy</t>
  </si>
  <si>
    <t>Nerozdelený zisk minulých rokov</t>
  </si>
  <si>
    <t>Vyplatené dividendy</t>
  </si>
  <si>
    <t>Ostatné položky vlastného imania</t>
  </si>
  <si>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</si>
  <si>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</si>
  <si>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</si>
  <si>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</si>
  <si>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</si>
  <si>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</si>
  <si>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</si>
  <si>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</si>
  <si>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</si>
  <si>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</si>
  <si>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</si>
  <si>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</si>
  <si>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</si>
  <si>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</si>
  <si>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</si>
  <si>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</si>
  <si>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</si>
  <si>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</si>
  <si>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</si>
  <si>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</si>
  <si>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</si>
  <si>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</si>
  <si>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</si>
  <si>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</si>
  <si>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</si>
  <si>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</si>
  <si>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</si>
  <si>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</si>
  <si>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</si>
  <si>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</si>
  <si>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</si>
  <si>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</si>
  <si>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</si>
  <si>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</si>
  <si>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</si>
  <si>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</si>
  <si>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Aktivované náklady na vývoj</t>
  </si>
  <si>
    <t>Oceniteľné práva</t>
  </si>
  <si>
    <t>Obstarávaný DNM</t>
  </si>
  <si>
    <t>Pestovateľské celky 
trvalých porastov</t>
  </si>
  <si>
    <t>Obstarávaný DHM</t>
  </si>
  <si>
    <t>Obstarávaný  DFM</t>
  </si>
  <si>
    <t>Poskytnuté preddavky na DFM</t>
  </si>
  <si>
    <t>Hodnota vlastného imania ÚJ, v ktorej má ÚJ umiestnený DFM</t>
  </si>
  <si>
    <t>Výsledok hospodárenia ÚJ, v ktorej má ÚJ umiestnený DFM</t>
  </si>
  <si>
    <t>Stav na začiatku účtovného obdobia</t>
  </si>
  <si>
    <t>Vyradenie dlhového CP z účtovníctva v účtovnom období</t>
  </si>
  <si>
    <t>Dlhové CP držané 
do splatnosti</t>
  </si>
  <si>
    <t>Vyradenie pôžičky z účtovníctva 
v účtovnom období</t>
  </si>
  <si>
    <t>Iný podiel na ostatných položkách VI ako na ZI v %</t>
  </si>
  <si>
    <t>Tvorba OP</t>
  </si>
  <si>
    <t>Tvorba 
OP</t>
  </si>
  <si>
    <t>Zúčtovanie OP z dôvodu vyradenia majetku 
z účtovníctva</t>
  </si>
  <si>
    <t>Poskytnuté preddavky 
na zásoby</t>
  </si>
  <si>
    <t>Zúčtovanie OP z dôvodu zániku opodstat-
nenosti</t>
  </si>
  <si>
    <t>Pohľadávky podľa zostatkovej doby splatnosti</t>
  </si>
  <si>
    <t>Pohľadávky so zostatkovou dobou splatnosti 
do jedného roka</t>
  </si>
  <si>
    <t>Zvýšenie/ zníženie hodnoty (+/-)</t>
  </si>
  <si>
    <t>Vplyv ocenenia na výsledok hospodárenia bežného účtovného obdobia</t>
  </si>
  <si>
    <t>Vplyv ocenenia na vlastné imanie</t>
  </si>
  <si>
    <t>Položka vlastného imania</t>
  </si>
  <si>
    <t>Zmena základného imania</t>
  </si>
  <si>
    <t>Pohľadávky za upísané vlastné imanie</t>
  </si>
  <si>
    <t>Oceňovacie rozdiely z precenenia pri zlúčení, splynutí a rozdelení</t>
  </si>
  <si>
    <t>Neuhradená strata minulých rokov</t>
  </si>
  <si>
    <t>Výsledok hospodárenia bežného účtovného obdobia</t>
  </si>
  <si>
    <t>Účet 491 – Vlastné imanie fyzickej osoby – podnikateľa</t>
  </si>
  <si>
    <t>Stav 
na začiatku účtovného obdobia</t>
  </si>
  <si>
    <t>Záväzky so zostatkovou dobou splatnosti 
do jedného roka vrátane</t>
  </si>
  <si>
    <r>
      <t>Dlhodobé pôžičky</t>
    </r>
    <r>
      <rPr>
        <sz val="8"/>
        <color theme="1"/>
        <rFont val="Arial"/>
        <family val="2"/>
        <charset val="238"/>
      </rPr>
      <t> </t>
    </r>
  </si>
  <si>
    <r>
      <t>Krátkodobé pôžičky</t>
    </r>
    <r>
      <rPr>
        <sz val="8"/>
        <color theme="1"/>
        <rFont val="Arial"/>
        <family val="2"/>
        <charset val="238"/>
      </rPr>
      <t> </t>
    </r>
  </si>
  <si>
    <r>
      <t>Krátkodobé finančné výpomoci</t>
    </r>
    <r>
      <rPr>
        <sz val="8"/>
        <color theme="1"/>
        <rFont val="Arial"/>
        <family val="2"/>
        <charset val="238"/>
      </rPr>
      <t> </t>
    </r>
  </si>
  <si>
    <t>Úrok p. a. v %</t>
  </si>
  <si>
    <t>27. Informácie k časti G. písm. g) prílohy č. 3 o záväzkoch zo sociálneho fondu</t>
  </si>
  <si>
    <t>28. Informácie k časti G. písm. h) prílohy č. 3 o vydaných dlhopisoch</t>
  </si>
  <si>
    <t>29. Informácie k časti G. písm. i)  prílohy č. 3 o bankových úveroch, pôžičkách a krátkodobých finančných výpomociach</t>
  </si>
  <si>
    <t>30. Informácie k časti F. písm. v) a časti G. písm. f) prílohy č. 3 o odloženej daňovej pohľadávke alebo o odloženom daňovom záväzku</t>
  </si>
  <si>
    <t>Výnosy budúcich období dlhodobé, 
z toho:</t>
  </si>
  <si>
    <t>Výnosy budúcich období krátkodobé, 
z toho:</t>
  </si>
  <si>
    <t>Bezprostred- 
ne predchádza- 
júce účtovné obdobie</t>
  </si>
  <si>
    <t>Nedokončená výroba a polotovary vlastnej výroby</t>
  </si>
  <si>
    <t>Bezprostred- 
ne predchádza-
júce účtovné obdobie</t>
  </si>
  <si>
    <r>
      <t>Významné položky pri aktivácii nákladov, z toho:</t>
    </r>
    <r>
      <rPr>
        <sz val="8"/>
        <color theme="1"/>
        <rFont val="Arial"/>
        <family val="2"/>
        <charset val="238"/>
      </rPr>
      <t> </t>
    </r>
  </si>
  <si>
    <t>Dcérska účtovná jednotka/
Materská účtovná jednotka</t>
  </si>
  <si>
    <t>Za bežné 
účtovné obdobie</t>
  </si>
  <si>
    <t>Sumár od začiatku zákazkovej výstavby nehnuteľnosti určenej 
na predaj až do konca bežného účtovného obdobia</t>
  </si>
  <si>
    <t>Sumár od začiatku zákazkovej výroby až 
do konca bežného účtovného obdobia</t>
  </si>
  <si>
    <t>Bezprostredne predchádzajúce 
účtovné obdobie</t>
  </si>
  <si>
    <t>Práva z investovania prostriedkov 
získaných oslobodením od dane z príjmov</t>
  </si>
  <si>
    <t>Pôžičky ÚJ 
v kons. celku</t>
  </si>
  <si>
    <t>Podielové CP a podiely 
v spoločnosti
s podstatným
vplyvom</t>
  </si>
  <si>
    <t>GL,PS,013,MD-D</t>
  </si>
  <si>
    <t>BS,015,B</t>
  </si>
  <si>
    <t>BS,110,S</t>
  </si>
  <si>
    <t>IS,020,S</t>
  </si>
  <si>
    <t>B,K,N,M</t>
  </si>
  <si>
    <t>S,M</t>
  </si>
  <si>
    <t>PS,Z,CO</t>
  </si>
  <si>
    <t>Označenie</t>
  </si>
  <si>
    <t>A K T Í V A</t>
  </si>
  <si>
    <t>Zaokrúhlené
(brutto)</t>
  </si>
  <si>
    <t>Zaokrúhlené
(korekcia)</t>
  </si>
  <si>
    <t>Zaokrúhlené
(netto)</t>
  </si>
  <si>
    <t>Zaokrúhlené
(minulé)</t>
  </si>
  <si>
    <t>P A S Í V A</t>
  </si>
  <si>
    <t>Zaokrúhlené
(sledované)</t>
  </si>
  <si>
    <t>T E X T</t>
  </si>
  <si>
    <t>Účet</t>
  </si>
  <si>
    <t>Názov účtu</t>
  </si>
  <si>
    <t>Spolu tom musí dať súčet SÚ 601,602,604</t>
  </si>
  <si>
    <t>Oceňovacie rozdiely z precenenia majetku a záväzkov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</si>
  <si>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</si>
  <si>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</si>
  <si>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</si>
  <si>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</si>
  <si>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</si>
  <si>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</si>
  <si>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</si>
  <si>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</si>
  <si>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</si>
  <si>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</si>
  <si>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Číslo 
riad.</t>
  </si>
  <si>
    <t>Skutočnosť v účtovnom 
období sledovanom</t>
  </si>
  <si>
    <t>Skutočnosť v účtovnom
období minulom</t>
  </si>
  <si>
    <t>Brutto v bežnom
účtovnom období</t>
  </si>
  <si>
    <t>Korekcia v bežnom
účtovnom období</t>
  </si>
  <si>
    <t>Netto v bežnom
účtovnom období</t>
  </si>
  <si>
    <t>Netto v minulom
účtovnom období</t>
  </si>
  <si>
    <t>Stav v bežnom
účtovnom období</t>
  </si>
  <si>
    <t>Stav v minulom
účtovnom období</t>
  </si>
  <si>
    <t>Popis</t>
  </si>
  <si>
    <t>Syntetický účet</t>
  </si>
  <si>
    <t>Názov syntetického účtu</t>
  </si>
  <si>
    <t>013000</t>
  </si>
  <si>
    <t>Software</t>
  </si>
  <si>
    <t>021000</t>
  </si>
  <si>
    <t>022000</t>
  </si>
  <si>
    <t>Samostatne hnuteľné veci a súbory hnuteľných vecí</t>
  </si>
  <si>
    <t>031000</t>
  </si>
  <si>
    <t>042000</t>
  </si>
  <si>
    <t>Obstaranie hmotných investícii</t>
  </si>
  <si>
    <t>042100</t>
  </si>
  <si>
    <t>Obstaranie hmotných investícii hotel</t>
  </si>
  <si>
    <t>073000</t>
  </si>
  <si>
    <t>Oprávky k software</t>
  </si>
  <si>
    <t>081000</t>
  </si>
  <si>
    <t>Oprávky k stavbám</t>
  </si>
  <si>
    <t>082000</t>
  </si>
  <si>
    <t>Oprávky k samost.hnut.veciam a k súboru hn.vecí</t>
  </si>
  <si>
    <t>111000</t>
  </si>
  <si>
    <t>Obstaranie materiálu</t>
  </si>
  <si>
    <t>112000</t>
  </si>
  <si>
    <t>Materiál na sklade</t>
  </si>
  <si>
    <t>131000</t>
  </si>
  <si>
    <t>Obstaranie tovaru</t>
  </si>
  <si>
    <t>131010</t>
  </si>
  <si>
    <t>Vedľajšie náklady obstatrania</t>
  </si>
  <si>
    <t>132000</t>
  </si>
  <si>
    <t>Tovar na sklade 1 Spišská Nová Ves</t>
  </si>
  <si>
    <t>132080</t>
  </si>
  <si>
    <t>Tovar na sklade 8 Spišský Štvrtok</t>
  </si>
  <si>
    <t>132090</t>
  </si>
  <si>
    <t>Tovar na sklade 9 Klčov</t>
  </si>
  <si>
    <t>211000</t>
  </si>
  <si>
    <t>Pokladnica</t>
  </si>
  <si>
    <t>213000</t>
  </si>
  <si>
    <t>Vydané obedy</t>
  </si>
  <si>
    <t>213010</t>
  </si>
  <si>
    <t>Stravné lístky</t>
  </si>
  <si>
    <t>221000</t>
  </si>
  <si>
    <t>Bankové účty - DEXIA</t>
  </si>
  <si>
    <t>221010</t>
  </si>
  <si>
    <t>Bankové účty - VÚB</t>
  </si>
  <si>
    <t>231000</t>
  </si>
  <si>
    <t>249000</t>
  </si>
  <si>
    <t>Ostatné krátkodobé finančné výpomoci</t>
  </si>
  <si>
    <t>261000</t>
  </si>
  <si>
    <t>Peniaze na ceste</t>
  </si>
  <si>
    <t>261002</t>
  </si>
  <si>
    <t>Hotovostná tržba POK 007</t>
  </si>
  <si>
    <t>261003</t>
  </si>
  <si>
    <t>Hotovostná tržba POK 006</t>
  </si>
  <si>
    <t>261004</t>
  </si>
  <si>
    <t>Hotovostná tržba dňa Klčov</t>
  </si>
  <si>
    <t>261005</t>
  </si>
  <si>
    <t>Hotovostná tržba dňa Sp. Štvrtok</t>
  </si>
  <si>
    <t>311000</t>
  </si>
  <si>
    <t>Odberatelia</t>
  </si>
  <si>
    <t>311050</t>
  </si>
  <si>
    <t>Odberatelia v cudzej mene</t>
  </si>
  <si>
    <t>314000</t>
  </si>
  <si>
    <t>Poskytnuté prevádzkové preddavky</t>
  </si>
  <si>
    <t>314340</t>
  </si>
  <si>
    <t>Základ dane DD zo zaplatených záloh A</t>
  </si>
  <si>
    <t>314343</t>
  </si>
  <si>
    <t>Celková suma DD zo zaplatených záloh</t>
  </si>
  <si>
    <t>315000</t>
  </si>
  <si>
    <t>Ostatné pohľadávky</t>
  </si>
  <si>
    <t>315010</t>
  </si>
  <si>
    <t>Postúpené pohľadávky</t>
  </si>
  <si>
    <t>315020</t>
  </si>
  <si>
    <t>Ostatné pohľadávky - platby POS terminálom</t>
  </si>
  <si>
    <t>321000</t>
  </si>
  <si>
    <t>Dodávatelia</t>
  </si>
  <si>
    <t>321050</t>
  </si>
  <si>
    <t>Dodávatelia v CM</t>
  </si>
  <si>
    <t>323000</t>
  </si>
  <si>
    <t>Krátkodobé rezervy</t>
  </si>
  <si>
    <t>324000</t>
  </si>
  <si>
    <t>Prijaté preddavky</t>
  </si>
  <si>
    <t>324340</t>
  </si>
  <si>
    <t>Základ dane DD z prijatých preddavkov A (s DPH)</t>
  </si>
  <si>
    <t>324343</t>
  </si>
  <si>
    <t>Základ dane DD z prijatých preddavkov B (bez DPH)</t>
  </si>
  <si>
    <t>326000</t>
  </si>
  <si>
    <t>Nevyfaktúrované dodávky</t>
  </si>
  <si>
    <t>331000</t>
  </si>
  <si>
    <t>Zamestnanci</t>
  </si>
  <si>
    <t>331010</t>
  </si>
  <si>
    <t>Vyplatené mzdy zamestnancom</t>
  </si>
  <si>
    <t>335000</t>
  </si>
  <si>
    <t>Pohľadávky voči zamestnancom</t>
  </si>
  <si>
    <t>336001</t>
  </si>
  <si>
    <t>Zdravotné poistenie</t>
  </si>
  <si>
    <t>336003</t>
  </si>
  <si>
    <t>336005</t>
  </si>
  <si>
    <t>Doplnkové dôchodkové poistenie</t>
  </si>
  <si>
    <t>341000</t>
  </si>
  <si>
    <t>Daň z príjmov</t>
  </si>
  <si>
    <t>341001</t>
  </si>
  <si>
    <t>Preddavky na daň z príjmu PO</t>
  </si>
  <si>
    <t>342002</t>
  </si>
  <si>
    <t>Zálohova daň</t>
  </si>
  <si>
    <t>343000</t>
  </si>
  <si>
    <t>DPH vzťah k ŠR</t>
  </si>
  <si>
    <t>343010</t>
  </si>
  <si>
    <t>DPH neuplatnený nárok na odpočet</t>
  </si>
  <si>
    <t>343012</t>
  </si>
  <si>
    <t>DPH vstup znížená sadzba</t>
  </si>
  <si>
    <t>343022</t>
  </si>
  <si>
    <t>DPH výstup znížená sadzba</t>
  </si>
  <si>
    <t>343023</t>
  </si>
  <si>
    <t>DPH výstup základná sadzba</t>
  </si>
  <si>
    <t>343024</t>
  </si>
  <si>
    <t>DPH vstup základná sadzba</t>
  </si>
  <si>
    <t>343032</t>
  </si>
  <si>
    <t>DPH služba, daň platí príjemca, má nárok</t>
  </si>
  <si>
    <t>343090</t>
  </si>
  <si>
    <t>DPH na vstupe EÚ platí príjemca</t>
  </si>
  <si>
    <t>345001</t>
  </si>
  <si>
    <t>Daň z motorových vozidiel</t>
  </si>
  <si>
    <t>345002</t>
  </si>
  <si>
    <t>Daň z nehnuteľností</t>
  </si>
  <si>
    <t>345003</t>
  </si>
  <si>
    <t>Miestny poplatok za komunálny odpad</t>
  </si>
  <si>
    <t>345005</t>
  </si>
  <si>
    <t>Poplatok za znečisťovanie ovzdušia</t>
  </si>
  <si>
    <t>346000</t>
  </si>
  <si>
    <t>Dotácie zo štátneho rozpočtu</t>
  </si>
  <si>
    <t>365000</t>
  </si>
  <si>
    <t>Ostatné záväzky voči spoločníkom</t>
  </si>
  <si>
    <t>366000</t>
  </si>
  <si>
    <t>Záväzky voči spoločníkom a členom zo závislej činn</t>
  </si>
  <si>
    <t>378000</t>
  </si>
  <si>
    <t>379000</t>
  </si>
  <si>
    <t>Iné záväzky</t>
  </si>
  <si>
    <t>379002</t>
  </si>
  <si>
    <t>Zrážky zamestnancov</t>
  </si>
  <si>
    <t>381000</t>
  </si>
  <si>
    <t>Náklady budúcich období</t>
  </si>
  <si>
    <t>381013</t>
  </si>
  <si>
    <t>Nákl. bud.období -leasing</t>
  </si>
  <si>
    <t>384000</t>
  </si>
  <si>
    <t>Výnosy budúcich období</t>
  </si>
  <si>
    <t>391000</t>
  </si>
  <si>
    <t>Opravná položka k pohľadávkam</t>
  </si>
  <si>
    <t>391999</t>
  </si>
  <si>
    <t xml:space="preserve">opravná položka -pripočitateľná </t>
  </si>
  <si>
    <t>395900</t>
  </si>
  <si>
    <t>Vnútorné zúčtovanie - prevod tovarov medzi skladmi</t>
  </si>
  <si>
    <t>411000</t>
  </si>
  <si>
    <t>421000</t>
  </si>
  <si>
    <t>428000</t>
  </si>
  <si>
    <t>431000</t>
  </si>
  <si>
    <t>Výsledok hospodárenia v schvaľovaní</t>
  </si>
  <si>
    <t>461000</t>
  </si>
  <si>
    <t>Bankové úvery</t>
  </si>
  <si>
    <t>461050</t>
  </si>
  <si>
    <t>Bankové úvery splatné nasl. účt. rok - r.114súv.</t>
  </si>
  <si>
    <t>472000</t>
  </si>
  <si>
    <t>Socialny fond</t>
  </si>
  <si>
    <t>474000</t>
  </si>
  <si>
    <t>Záväzky z prenájmu splatné nasl. rok - krátkodobé</t>
  </si>
  <si>
    <t>474020</t>
  </si>
  <si>
    <t>leasing MANN TGS</t>
  </si>
  <si>
    <t>474030</t>
  </si>
  <si>
    <t>leasing Man diesel</t>
  </si>
  <si>
    <t>481000</t>
  </si>
  <si>
    <t>Odložený daňový záväzok a odložená daňová pohľ.</t>
  </si>
  <si>
    <t>501000</t>
  </si>
  <si>
    <t>Spotreba materiálu - všeobecný</t>
  </si>
  <si>
    <t>501001</t>
  </si>
  <si>
    <t>Spotreba materiálu - PHM - VZV</t>
  </si>
  <si>
    <t>501002</t>
  </si>
  <si>
    <t>Spotreba materiálu - PHM doprava</t>
  </si>
  <si>
    <t>501009</t>
  </si>
  <si>
    <t>Spotreba materiálu - čistiace potreby</t>
  </si>
  <si>
    <t>501010</t>
  </si>
  <si>
    <t>Spotreba materiálu - kancelária</t>
  </si>
  <si>
    <t>502001</t>
  </si>
  <si>
    <t>Spotreba zemného plynu</t>
  </si>
  <si>
    <t>502003</t>
  </si>
  <si>
    <t xml:space="preserve">spotreba vody </t>
  </si>
  <si>
    <t>504000</t>
  </si>
  <si>
    <t>Predaný tovar 1 Spišská Nová Ves</t>
  </si>
  <si>
    <t>504010</t>
  </si>
  <si>
    <t>Predaný tovar - poskytnuté bonusy a rabaty</t>
  </si>
  <si>
    <t>504050</t>
  </si>
  <si>
    <t>Predaný tovar - inventúrny výdaj do normy úbytkov</t>
  </si>
  <si>
    <t>511000</t>
  </si>
  <si>
    <t>Opravy a udržiavanie</t>
  </si>
  <si>
    <t>511010</t>
  </si>
  <si>
    <t>Servis VZV</t>
  </si>
  <si>
    <t>511011</t>
  </si>
  <si>
    <t>Servis nákladných áut</t>
  </si>
  <si>
    <t>512000</t>
  </si>
  <si>
    <t>Cestovné</t>
  </si>
  <si>
    <t>513000</t>
  </si>
  <si>
    <t>Náklady na reprezentáciu</t>
  </si>
  <si>
    <t>518000</t>
  </si>
  <si>
    <t>Ostatné služby</t>
  </si>
  <si>
    <t>518003</t>
  </si>
  <si>
    <t>Ostatné služby - nájom</t>
  </si>
  <si>
    <t>518004</t>
  </si>
  <si>
    <t>Ostatné služby - PO a BOZPP</t>
  </si>
  <si>
    <t>518005</t>
  </si>
  <si>
    <t>Ostatné služby - ochrana objektov</t>
  </si>
  <si>
    <t>518007</t>
  </si>
  <si>
    <t>Ostatné služby - živnostníci</t>
  </si>
  <si>
    <t>518010</t>
  </si>
  <si>
    <t>Ostatné služby - poštovné</t>
  </si>
  <si>
    <t>518011</t>
  </si>
  <si>
    <t>Ostatné služby - reklama a inzercia</t>
  </si>
  <si>
    <t>518014</t>
  </si>
  <si>
    <t>Ostatné služby - softvérové</t>
  </si>
  <si>
    <t>518015</t>
  </si>
  <si>
    <t>Ostatné služby - životné prostredie</t>
  </si>
  <si>
    <t>518016</t>
  </si>
  <si>
    <t>Ostatné služby - telefón</t>
  </si>
  <si>
    <t>518017</t>
  </si>
  <si>
    <t>Ostatné služby - mobilné telefóny</t>
  </si>
  <si>
    <t>518018</t>
  </si>
  <si>
    <t>Ostatné služby - internet</t>
  </si>
  <si>
    <t>518020</t>
  </si>
  <si>
    <t>Ostatné služby - právnikov</t>
  </si>
  <si>
    <t>518021</t>
  </si>
  <si>
    <t>Ostatné služby - poradenstvo ekon., audit.</t>
  </si>
  <si>
    <t>518023</t>
  </si>
  <si>
    <t>Ostatné služby - diaľničné poplatky</t>
  </si>
  <si>
    <t>518030</t>
  </si>
  <si>
    <t>Ostatné služby - doprava - REFAKTURÁCIA</t>
  </si>
  <si>
    <t>521001</t>
  </si>
  <si>
    <t>Mzdové náklady</t>
  </si>
  <si>
    <t>522001</t>
  </si>
  <si>
    <t>Príjmy spoloč. a členov druž. zo závislej činnosti</t>
  </si>
  <si>
    <t>524001</t>
  </si>
  <si>
    <t>524002</t>
  </si>
  <si>
    <t>Fond nezamesnanosti</t>
  </si>
  <si>
    <t>524003</t>
  </si>
  <si>
    <t>524010</t>
  </si>
  <si>
    <t>Ročné zúčtovanie zdravotného poistenia</t>
  </si>
  <si>
    <t>525000</t>
  </si>
  <si>
    <t>Doplnkové dôchodkové sporenie</t>
  </si>
  <si>
    <t>527000</t>
  </si>
  <si>
    <t>Tvorba sociálneho fondu</t>
  </si>
  <si>
    <t>527010</t>
  </si>
  <si>
    <t xml:space="preserve">Stravovanie zamestnancov 55% </t>
  </si>
  <si>
    <t>527030</t>
  </si>
  <si>
    <t>Nápoj k obedu do 55%</t>
  </si>
  <si>
    <t>527040</t>
  </si>
  <si>
    <t>BOZP a OOPP</t>
  </si>
  <si>
    <t>527050</t>
  </si>
  <si>
    <t>Výdavky na vzdelávanie zamestnancov</t>
  </si>
  <si>
    <t>531000</t>
  </si>
  <si>
    <t>532000</t>
  </si>
  <si>
    <t>538000</t>
  </si>
  <si>
    <t>Ostatné nepriame dane a poplatky</t>
  </si>
  <si>
    <t>538003</t>
  </si>
  <si>
    <t>538005</t>
  </si>
  <si>
    <t>538006</t>
  </si>
  <si>
    <t>Koncesionárske poplatky</t>
  </si>
  <si>
    <t>543000</t>
  </si>
  <si>
    <t>544000</t>
  </si>
  <si>
    <t>Zmluvné pokuty a penále a úroky z omeškania</t>
  </si>
  <si>
    <t>544999</t>
  </si>
  <si>
    <t>Penále - neuznaný náklad</t>
  </si>
  <si>
    <t>545000</t>
  </si>
  <si>
    <t>Ostatné pokuty, penále a úroky z omeškania</t>
  </si>
  <si>
    <t>546000</t>
  </si>
  <si>
    <t>Odpis nevymožiteľnej pohľadávky</t>
  </si>
  <si>
    <t>546010</t>
  </si>
  <si>
    <t>Odpis pohľadávky daňovo neuznaný</t>
  </si>
  <si>
    <t>548003</t>
  </si>
  <si>
    <t>Ostatné náklady na hospodársku činnosť</t>
  </si>
  <si>
    <t>548010</t>
  </si>
  <si>
    <t>Halierové vyrovnanie</t>
  </si>
  <si>
    <t>551000</t>
  </si>
  <si>
    <t>Odpisy nehmotného a hmotného investičného majetku</t>
  </si>
  <si>
    <t>562000</t>
  </si>
  <si>
    <t>Úroky</t>
  </si>
  <si>
    <t>562010</t>
  </si>
  <si>
    <t>Úroky - dlhodobý úver</t>
  </si>
  <si>
    <t>563000</t>
  </si>
  <si>
    <t>Kurzové straty</t>
  </si>
  <si>
    <t>568000</t>
  </si>
  <si>
    <t>Poplatky bankám - POS terminál</t>
  </si>
  <si>
    <t>568002</t>
  </si>
  <si>
    <t>Poplatky bankám - vedenie účtu</t>
  </si>
  <si>
    <t>568003</t>
  </si>
  <si>
    <t>Poistenie majetkové</t>
  </si>
  <si>
    <t>568004</t>
  </si>
  <si>
    <t>Poistenie povinné zmluvné vozidiel</t>
  </si>
  <si>
    <t>568005</t>
  </si>
  <si>
    <t>Poistenie havarijné</t>
  </si>
  <si>
    <t>568006</t>
  </si>
  <si>
    <t>Poistenie nákladu</t>
  </si>
  <si>
    <t>568007</t>
  </si>
  <si>
    <t>Poistenie právne služby</t>
  </si>
  <si>
    <t>568010</t>
  </si>
  <si>
    <t>Poplatky bankám za zahraničný prevod</t>
  </si>
  <si>
    <t>568012</t>
  </si>
  <si>
    <t>Poplatky bankám - sledovanie úverov</t>
  </si>
  <si>
    <t>591000</t>
  </si>
  <si>
    <t>Splatná daň z príjmov z bežnej činnosti</t>
  </si>
  <si>
    <t>602000</t>
  </si>
  <si>
    <t>Tržby z predaja služieb - požičovné</t>
  </si>
  <si>
    <t>602010</t>
  </si>
  <si>
    <t>Tržby z predaja služieb - vlastná doprava</t>
  </si>
  <si>
    <t>602020</t>
  </si>
  <si>
    <t>Tržby z predaja služieb - ostatné</t>
  </si>
  <si>
    <t>602030</t>
  </si>
  <si>
    <t>Refakturácia dopravy</t>
  </si>
  <si>
    <t>604000</t>
  </si>
  <si>
    <t>Tržby za tovar 1 SNV</t>
  </si>
  <si>
    <t>604002</t>
  </si>
  <si>
    <t>tržby za tovar SNV - 02</t>
  </si>
  <si>
    <t>604003</t>
  </si>
  <si>
    <t>tržby za tovar SNV - 03</t>
  </si>
  <si>
    <t>604010</t>
  </si>
  <si>
    <t>Tržby za tovar - poskytnuté bonusy</t>
  </si>
  <si>
    <t>604080</t>
  </si>
  <si>
    <t>Tržby za tovar 8 Sp.Štvrtok</t>
  </si>
  <si>
    <t>604090</t>
  </si>
  <si>
    <t>Tržby za tovar 9 Klčov</t>
  </si>
  <si>
    <t>641000</t>
  </si>
  <si>
    <t>Tržby z predaja dlhodob. nehm.maj.a dlhod.hmot.maj</t>
  </si>
  <si>
    <t>642000</t>
  </si>
  <si>
    <t>Tržby z predaja materiálu</t>
  </si>
  <si>
    <t>646000</t>
  </si>
  <si>
    <t>Výnosy z odpísaných pohľadávok</t>
  </si>
  <si>
    <t>648000</t>
  </si>
  <si>
    <t>Ostatné výnosy z hospodárskej činnosti</t>
  </si>
  <si>
    <t>648010</t>
  </si>
  <si>
    <t>662000</t>
  </si>
  <si>
    <t>663000</t>
  </si>
  <si>
    <t>Kurzové zisky</t>
  </si>
  <si>
    <t>668000</t>
  </si>
  <si>
    <t>Ostatné finančné výnosy</t>
  </si>
  <si>
    <t>682000</t>
  </si>
  <si>
    <t>Náhrady škôd</t>
  </si>
  <si>
    <t>013</t>
  </si>
  <si>
    <t>021</t>
  </si>
  <si>
    <t>Budovy,haly a stavby</t>
  </si>
  <si>
    <t>022</t>
  </si>
  <si>
    <t>Stroje prístroje a zariadenia</t>
  </si>
  <si>
    <t>031</t>
  </si>
  <si>
    <t>042</t>
  </si>
  <si>
    <t>073</t>
  </si>
  <si>
    <t>081</t>
  </si>
  <si>
    <t>Oprávky k budovám, halám a stavbám</t>
  </si>
  <si>
    <t>082</t>
  </si>
  <si>
    <t>Oprávky k strojom, prístrojom a zariadeniam</t>
  </si>
  <si>
    <t>111</t>
  </si>
  <si>
    <t>112</t>
  </si>
  <si>
    <t>131</t>
  </si>
  <si>
    <t>132</t>
  </si>
  <si>
    <t>Tovar na sklade a v predajniach</t>
  </si>
  <si>
    <t>211</t>
  </si>
  <si>
    <t>213</t>
  </si>
  <si>
    <t>Ceniny</t>
  </si>
  <si>
    <t>221</t>
  </si>
  <si>
    <t>Bankové účty</t>
  </si>
  <si>
    <t>231</t>
  </si>
  <si>
    <t>249</t>
  </si>
  <si>
    <t>261</t>
  </si>
  <si>
    <t>311</t>
  </si>
  <si>
    <t>314</t>
  </si>
  <si>
    <t>315</t>
  </si>
  <si>
    <t>321</t>
  </si>
  <si>
    <t>323</t>
  </si>
  <si>
    <t>324</t>
  </si>
  <si>
    <t>326</t>
  </si>
  <si>
    <t>Nevyfakturované dodávky</t>
  </si>
  <si>
    <t>331</t>
  </si>
  <si>
    <t>335</t>
  </si>
  <si>
    <t>336</t>
  </si>
  <si>
    <t>Zúčtovanie s inštitúciami sociálneho zabezpečenia</t>
  </si>
  <si>
    <t>341</t>
  </si>
  <si>
    <t>342</t>
  </si>
  <si>
    <t>Ostatné priame dane</t>
  </si>
  <si>
    <t>343</t>
  </si>
  <si>
    <t>Daň z pridanej hodnoty</t>
  </si>
  <si>
    <t>345</t>
  </si>
  <si>
    <t>Ostatné dane a poplatky</t>
  </si>
  <si>
    <t>346</t>
  </si>
  <si>
    <t>365</t>
  </si>
  <si>
    <t>Ostatné záväzky voči spoločníkom a členom</t>
  </si>
  <si>
    <t>366</t>
  </si>
  <si>
    <t>Záväzky voči spoločn.a členom zo záv.činnosti</t>
  </si>
  <si>
    <t>378</t>
  </si>
  <si>
    <t>379</t>
  </si>
  <si>
    <t>381</t>
  </si>
  <si>
    <t>384</t>
  </si>
  <si>
    <t>391</t>
  </si>
  <si>
    <t>395</t>
  </si>
  <si>
    <t>Vnútorné zúčtovanie</t>
  </si>
  <si>
    <t>411</t>
  </si>
  <si>
    <t>421</t>
  </si>
  <si>
    <t>428</t>
  </si>
  <si>
    <t>431</t>
  </si>
  <si>
    <t>Hospodársky výsledok vo schvaľovacom konaní</t>
  </si>
  <si>
    <t>461</t>
  </si>
  <si>
    <t>472</t>
  </si>
  <si>
    <t>Záväzky zo sociálneho fondu</t>
  </si>
  <si>
    <t>474</t>
  </si>
  <si>
    <t>Záväzky z prenájmu</t>
  </si>
  <si>
    <t>481</t>
  </si>
  <si>
    <t>Odložený daňový záväzoka odložená daňová pohľadávk</t>
  </si>
  <si>
    <t>501</t>
  </si>
  <si>
    <t>Spotreba materiálu</t>
  </si>
  <si>
    <t>502</t>
  </si>
  <si>
    <t>Spotreba energie</t>
  </si>
  <si>
    <t>504</t>
  </si>
  <si>
    <t>Predaný tovar</t>
  </si>
  <si>
    <t>511</t>
  </si>
  <si>
    <t>512</t>
  </si>
  <si>
    <t>513</t>
  </si>
  <si>
    <t>518</t>
  </si>
  <si>
    <t>521</t>
  </si>
  <si>
    <t>522</t>
  </si>
  <si>
    <t>524</t>
  </si>
  <si>
    <t>Zákonné sociálne poistenie</t>
  </si>
  <si>
    <t>525</t>
  </si>
  <si>
    <t>Ostatné sociálne poistenie</t>
  </si>
  <si>
    <t>527</t>
  </si>
  <si>
    <t>Zákonné sociálne náklady</t>
  </si>
  <si>
    <t>531</t>
  </si>
  <si>
    <t>532</t>
  </si>
  <si>
    <t>Daň z nehnuteľnosti</t>
  </si>
  <si>
    <t>538</t>
  </si>
  <si>
    <t>543</t>
  </si>
  <si>
    <t>544</t>
  </si>
  <si>
    <t>Zmluvné pokuty a penále</t>
  </si>
  <si>
    <t>545</t>
  </si>
  <si>
    <t>Ostatné pokuty a penále</t>
  </si>
  <si>
    <t>546</t>
  </si>
  <si>
    <t>Odpis pohľadávky</t>
  </si>
  <si>
    <t>548</t>
  </si>
  <si>
    <t>Ostatné prevádzkové náklady</t>
  </si>
  <si>
    <t>551</t>
  </si>
  <si>
    <t>562</t>
  </si>
  <si>
    <t>563</t>
  </si>
  <si>
    <t>568</t>
  </si>
  <si>
    <t>Ostatné finančné náklady</t>
  </si>
  <si>
    <t>591</t>
  </si>
  <si>
    <t>Daň z príjmov z bežnej činnosti-splatná</t>
  </si>
  <si>
    <t>602</t>
  </si>
  <si>
    <t>Tržby z predaja služieb</t>
  </si>
  <si>
    <t>604</t>
  </si>
  <si>
    <t>Tržby za tovar</t>
  </si>
  <si>
    <t>641</t>
  </si>
  <si>
    <t>Tržby z predaja nehmot. a hmot. investič. majetku</t>
  </si>
  <si>
    <t>642</t>
  </si>
  <si>
    <t>646</t>
  </si>
  <si>
    <t>648</t>
  </si>
  <si>
    <t>Ostatné prevádzkové výnosy</t>
  </si>
  <si>
    <t>662</t>
  </si>
  <si>
    <t>663</t>
  </si>
  <si>
    <t>668</t>
  </si>
  <si>
    <t>682</t>
  </si>
  <si>
    <t>I.</t>
  </si>
  <si>
    <t>Tržby z predaja tovaru (604)</t>
  </si>
  <si>
    <t>01</t>
  </si>
  <si>
    <t>A.</t>
  </si>
  <si>
    <t>Náklady vynaložené na obstaranie predaného tovaru (504, 505A)</t>
  </si>
  <si>
    <t>02</t>
  </si>
  <si>
    <t>+</t>
  </si>
  <si>
    <t>Obchodná marža r. 01 - r. 02</t>
  </si>
  <si>
    <t>03</t>
  </si>
  <si>
    <t>ll.</t>
  </si>
  <si>
    <t>Výroba r. 05+r. 06+ r. 07</t>
  </si>
  <si>
    <t>04</t>
  </si>
  <si>
    <t>ll.1.</t>
  </si>
  <si>
    <t>Tržby z predaja vlastných výrobkov a služieb (601,602)</t>
  </si>
  <si>
    <t>05</t>
  </si>
  <si>
    <t>Zmeny stavu vnútroorganizačných zásob (+/- účtová skupina 61)</t>
  </si>
  <si>
    <t>06</t>
  </si>
  <si>
    <t>Aktivácia (účtová skupina 62)</t>
  </si>
  <si>
    <t>07</t>
  </si>
  <si>
    <t>B.</t>
  </si>
  <si>
    <t>Výrobná spotreba r. 09+ r. 10</t>
  </si>
  <si>
    <t>08</t>
  </si>
  <si>
    <t>B.1.</t>
  </si>
  <si>
    <t>Spotreba materiálu, energie a ostatných neskladovateľných dodávok (501,502,503,505A)</t>
  </si>
  <si>
    <t>09</t>
  </si>
  <si>
    <t>Služby (účtová skupina 51)</t>
  </si>
  <si>
    <t>10</t>
  </si>
  <si>
    <t>Pridaná hodnota r. 03+ r. 04- r. 08</t>
  </si>
  <si>
    <t>11</t>
  </si>
  <si>
    <t>C.</t>
  </si>
  <si>
    <t>Osobné náklady súčet (r. 13 až 16)</t>
  </si>
  <si>
    <t>12</t>
  </si>
  <si>
    <t>C.1.</t>
  </si>
  <si>
    <t>Mzdové náklady (521,522)</t>
  </si>
  <si>
    <t>13</t>
  </si>
  <si>
    <t>Odmeny členom orgánov spoločnosti a družstva (523)</t>
  </si>
  <si>
    <t>14</t>
  </si>
  <si>
    <t>Náklady na sociálne poistenie (524,525,526)</t>
  </si>
  <si>
    <t>15</t>
  </si>
  <si>
    <t>Sociálne náklady (527,528)</t>
  </si>
  <si>
    <t>16</t>
  </si>
  <si>
    <t>D.</t>
  </si>
  <si>
    <t>Dane a poplatky (účtová  skupina 53)</t>
  </si>
  <si>
    <t>17</t>
  </si>
  <si>
    <t>E.</t>
  </si>
  <si>
    <t>Odpisy a opravné položky k dlhodobému nehmotnému majetku a dlhodobému hmotnému majetku (551,553)</t>
  </si>
  <si>
    <t>18</t>
  </si>
  <si>
    <t>lll.</t>
  </si>
  <si>
    <t>Tržby z predaja dlhodobého majetku a materiálu (641,642)</t>
  </si>
  <si>
    <t>19</t>
  </si>
  <si>
    <t>F.</t>
  </si>
  <si>
    <t>Zostatková cena predaného dlhodobého majetku a predaného materiálu (541,542)</t>
  </si>
  <si>
    <t>20</t>
  </si>
  <si>
    <t>G.</t>
  </si>
  <si>
    <t>Tvorba a zúčtovanie opravných položiek k pohľadávkam (+/- 547)</t>
  </si>
  <si>
    <t>21</t>
  </si>
  <si>
    <t>IV.</t>
  </si>
  <si>
    <t>Ostatné výnosy z hospodárskej činnosti (644,645,646,648,655,657)</t>
  </si>
  <si>
    <t>22</t>
  </si>
  <si>
    <t>H.</t>
  </si>
  <si>
    <t>Ostatné náklady na hospodársku činnosť (543,544,545,546,548,549,555,557)</t>
  </si>
  <si>
    <t>23</t>
  </si>
  <si>
    <t>V.</t>
  </si>
  <si>
    <t>Prevod výnosov z hospodárskej činnosti (-) (697)</t>
  </si>
  <si>
    <t>24</t>
  </si>
  <si>
    <t>Prevod nákladov na hospodársku činnosť (-) (597)</t>
  </si>
  <si>
    <t>25</t>
  </si>
  <si>
    <t>*</t>
  </si>
  <si>
    <t>Výsledok hospodárenia z hosp. činnosti r. 11-r. 12-r. 17-r. 18+ r.19-r. 20-r. 21+r. 22-r.23 +(-r. 24)-(-r. 25)</t>
  </si>
  <si>
    <t>26</t>
  </si>
  <si>
    <t>Vl.</t>
  </si>
  <si>
    <t>Tržby z predaja cenných papierov a podielov (661)</t>
  </si>
  <si>
    <t>27</t>
  </si>
  <si>
    <t>J.</t>
  </si>
  <si>
    <t>Predané cenné papiere a podiely (561)</t>
  </si>
  <si>
    <t>28</t>
  </si>
  <si>
    <t>VII.</t>
  </si>
  <si>
    <t>Výnosy z dlhodobého finančného majetku r. 30+ r. 31+ r. 32</t>
  </si>
  <si>
    <t>29</t>
  </si>
  <si>
    <t>VII.1.</t>
  </si>
  <si>
    <t>Výnosy z cenných papierov a podielov v dcérskej účtovnej jednotke a v spoločnosti s podstatným vplyvom (665A)</t>
  </si>
  <si>
    <t>30</t>
  </si>
  <si>
    <t>Výnosy z ostatných dlhodobých cenných papierov a podielov (665A)</t>
  </si>
  <si>
    <t>31</t>
  </si>
  <si>
    <t>Výnosy z ostaného dlhodobého finančného majetku (665A)</t>
  </si>
  <si>
    <t>32</t>
  </si>
  <si>
    <t>VIII.</t>
  </si>
  <si>
    <t>Výnosy z krátkodobého finančného majetku (666)</t>
  </si>
  <si>
    <t>33</t>
  </si>
  <si>
    <t>K.</t>
  </si>
  <si>
    <t>Náklady na krátkodobý finančný majetok (566)</t>
  </si>
  <si>
    <t>34</t>
  </si>
  <si>
    <t>IX.</t>
  </si>
  <si>
    <t>Výnosy z precenenia cenných papierov a výnosy z derivátových operácií (664,667)</t>
  </si>
  <si>
    <t>35</t>
  </si>
  <si>
    <t>L.</t>
  </si>
  <si>
    <t>Náklady na precenenie cenných papierov a náklady na derivátové operácie (564,567)</t>
  </si>
  <si>
    <t>36</t>
  </si>
  <si>
    <t>M.</t>
  </si>
  <si>
    <t>Tvorba a zúčtovanie opravných položiek k finančnému majetku +/- 565</t>
  </si>
  <si>
    <t>37</t>
  </si>
  <si>
    <t>X.</t>
  </si>
  <si>
    <t>Výnosové úroky (662)</t>
  </si>
  <si>
    <t>38</t>
  </si>
  <si>
    <t>N.</t>
  </si>
  <si>
    <t>Nákladové úroky (562)</t>
  </si>
  <si>
    <t>39</t>
  </si>
  <si>
    <t>Xl.</t>
  </si>
  <si>
    <t>Kurzové zisky (663)</t>
  </si>
  <si>
    <t>40</t>
  </si>
  <si>
    <t>O.</t>
  </si>
  <si>
    <t>Kurzové straty (563)</t>
  </si>
  <si>
    <t>41</t>
  </si>
  <si>
    <t>XlI.</t>
  </si>
  <si>
    <t>Ostatné výnosy z finančnej činnosti (668)</t>
  </si>
  <si>
    <t>42</t>
  </si>
  <si>
    <t>P.</t>
  </si>
  <si>
    <t>Ostatné náklady na finančnú činnosť (568,569)</t>
  </si>
  <si>
    <t>43</t>
  </si>
  <si>
    <t>XIll.</t>
  </si>
  <si>
    <t>Prevod finančných výnosov (-) (698)</t>
  </si>
  <si>
    <t>44</t>
  </si>
  <si>
    <t>R.</t>
  </si>
  <si>
    <t>Prevod finančných nákladov (-) (598)</t>
  </si>
  <si>
    <t>45</t>
  </si>
  <si>
    <t>Výsledok hospodárenia z finančnej činnosti r.27-r.28+r.29+r.33-r.34+r.35-r.36-r.37+r.38-r.39+r.40-r.41+r.42-r.43+(-r.44)-(-r.45)</t>
  </si>
  <si>
    <t>46</t>
  </si>
  <si>
    <t>**</t>
  </si>
  <si>
    <t>Výsledok hospodárenia z bežnej činnosti pred zdanením r.26 + r.46</t>
  </si>
  <si>
    <t>47</t>
  </si>
  <si>
    <t>S.</t>
  </si>
  <si>
    <t>Daň z príjmov z bežnej činnosti r. 49+ r. 50</t>
  </si>
  <si>
    <t>48</t>
  </si>
  <si>
    <t>S.1.</t>
  </si>
  <si>
    <t>- splatná (591,595)</t>
  </si>
  <si>
    <t>49</t>
  </si>
  <si>
    <t>- odložená (+/-592)</t>
  </si>
  <si>
    <t>50</t>
  </si>
  <si>
    <t>Výsledok hospodárenia z bežnej činnosti r. 47- r.48</t>
  </si>
  <si>
    <t>51</t>
  </si>
  <si>
    <t>XIV.</t>
  </si>
  <si>
    <t>Mimoriadne výnosy (účtová skupina 68)</t>
  </si>
  <si>
    <t>52</t>
  </si>
  <si>
    <t>T.</t>
  </si>
  <si>
    <t>Mimoriadne náklady (účtová skupina 58)</t>
  </si>
  <si>
    <t>53</t>
  </si>
  <si>
    <t>Výsledok hospodárenia z mimoriadnej činnosti pred zdanením r. 52- r.53</t>
  </si>
  <si>
    <t>54</t>
  </si>
  <si>
    <t>U.</t>
  </si>
  <si>
    <t>Daň z príjmov z mimoriadnej činnosti r. 56+ r.57</t>
  </si>
  <si>
    <t>55</t>
  </si>
  <si>
    <t>U.1.</t>
  </si>
  <si>
    <t>- splatná (593)</t>
  </si>
  <si>
    <t>56</t>
  </si>
  <si>
    <t>- odložená (+/-594)</t>
  </si>
  <si>
    <t>57</t>
  </si>
  <si>
    <t>Výsledok hospodárenia z mimoriadnej činnosti po zdanení  r. 54 - r. 55</t>
  </si>
  <si>
    <t>58</t>
  </si>
  <si>
    <t>***</t>
  </si>
  <si>
    <t>Výsledok hospodárenia za účtovné obdobie pred zdanením (+/-) [r. 47 + r. 54]</t>
  </si>
  <si>
    <t>59</t>
  </si>
  <si>
    <t>Prevod podielov na výsledku hospodárenia spoločníkom (+/-596)</t>
  </si>
  <si>
    <t>60</t>
  </si>
  <si>
    <t>Výsledok hospodárenia za účtovné obdobie po zdanení (+/-) [r. 51+ r. 58- r.60]</t>
  </si>
  <si>
    <t>61</t>
  </si>
  <si>
    <t>Spolu majetok r. 002+ r. 030+ r. 061</t>
  </si>
  <si>
    <t>001</t>
  </si>
  <si>
    <t>Neobežný majetok r. 003+ r. 011+ r. 021</t>
  </si>
  <si>
    <t>002</t>
  </si>
  <si>
    <t>A.l.</t>
  </si>
  <si>
    <t>Dlhodobý nehmotný majetok súčet (r. 004 až 010)</t>
  </si>
  <si>
    <t>003</t>
  </si>
  <si>
    <t>A.I.1</t>
  </si>
  <si>
    <t>Aktivované náklady na vývoj (012) - /072,091A/</t>
  </si>
  <si>
    <t>004</t>
  </si>
  <si>
    <t>Softvér (013) - /073,091A/</t>
  </si>
  <si>
    <t>005</t>
  </si>
  <si>
    <t>Oceniteľné práva (014) - /074,091A/</t>
  </si>
  <si>
    <t>006</t>
  </si>
  <si>
    <t>Goodwill (015) - /075,091A/</t>
  </si>
  <si>
    <t>007</t>
  </si>
  <si>
    <t>Ostatný dlhodobý nehmotný majetok (019,01X) - /079,07X,091A/</t>
  </si>
  <si>
    <t>008</t>
  </si>
  <si>
    <t>Obstarávaný dlhodobý nehmotný majetok (041) -093</t>
  </si>
  <si>
    <t>009</t>
  </si>
  <si>
    <t>Poskytnuté preddavky na dlhodobý nehmotný majetok (051) - 095A</t>
  </si>
  <si>
    <t>010</t>
  </si>
  <si>
    <t>A.ll.</t>
  </si>
  <si>
    <t>Dlhodobý hmotný majetok súčet (r. 012 až 020)</t>
  </si>
  <si>
    <t>011</t>
  </si>
  <si>
    <t>A.ll.1.</t>
  </si>
  <si>
    <t>Pozemky (031) - 092A</t>
  </si>
  <si>
    <t>012</t>
  </si>
  <si>
    <t>Stavby (021) - /081,092A/</t>
  </si>
  <si>
    <t>Samostatné hnuteľné veci a súbory hnuteľných vecí (022) - /082,092A/</t>
  </si>
  <si>
    <t>014</t>
  </si>
  <si>
    <t>Pestovateľské celky trvalých porastov (025) - /085,092A/</t>
  </si>
  <si>
    <t>015</t>
  </si>
  <si>
    <t>Základné stádo a ťažné zvieratá (026) - /086,092A/</t>
  </si>
  <si>
    <t>016</t>
  </si>
  <si>
    <t>Ostatný dlhodobý hmotný majetok (029,02X,032) - /089,08X,092A/</t>
  </si>
  <si>
    <t>017</t>
  </si>
  <si>
    <t>Obstarávaný dlhodobý hmotný majetok (042) - 094</t>
  </si>
  <si>
    <t>018</t>
  </si>
  <si>
    <t>Poskytnuté preddavky na dlhodobý hmotný majetok (052) - 095A</t>
  </si>
  <si>
    <t>019</t>
  </si>
  <si>
    <t>Opravná položka k nadobudnutému majetku (+/- 097) +/- 098</t>
  </si>
  <si>
    <t>020</t>
  </si>
  <si>
    <t>A.lll.</t>
  </si>
  <si>
    <t>Dlhodobý finančný majetok súčet (r. 022 až 029)</t>
  </si>
  <si>
    <t>A.lll.1.</t>
  </si>
  <si>
    <t>Podielové cenné papiere a podiely v dcérskej účtovnej jednotke (061) - 096A</t>
  </si>
  <si>
    <t>Podielové cenné papiere a podiely v spoločnosti s podstatným vplyvom (062) - 096A</t>
  </si>
  <si>
    <t>023</t>
  </si>
  <si>
    <t>Ostatné dlhodobé cenné papiere a podiely (063,065) - 096A</t>
  </si>
  <si>
    <t>024</t>
  </si>
  <si>
    <t>Pôžičky účtovnej jednotke v konsolidovanom celku (066A) - 096A</t>
  </si>
  <si>
    <t>025</t>
  </si>
  <si>
    <t>Ostatný dlhodobý finančný majetok (067A,069,06XA) - 096A</t>
  </si>
  <si>
    <t>026</t>
  </si>
  <si>
    <t>Pôžičky s dobou splatnosti najviac jeden rok (066A,067A,06XA) - 096A</t>
  </si>
  <si>
    <t>027</t>
  </si>
  <si>
    <t>Obstarávaný dlhodobý finančný majetok (043) - 096A</t>
  </si>
  <si>
    <t>028</t>
  </si>
  <si>
    <t>Poskytnuté preddavky na dlhodobý finančný majetok (053) - 095A</t>
  </si>
  <si>
    <t>029</t>
  </si>
  <si>
    <t>Obežný majetok r. 031+ r. 038+ r. 046+ r. 055</t>
  </si>
  <si>
    <t>030</t>
  </si>
  <si>
    <t>B.l.</t>
  </si>
  <si>
    <t>Zásoby súčet (r. 032 až 037)</t>
  </si>
  <si>
    <t>B.l.1.</t>
  </si>
  <si>
    <t>Materiál (112,119,11X) - /191,19X/</t>
  </si>
  <si>
    <t>032</t>
  </si>
  <si>
    <t>Nedokončená výroba a polotovary vlastnej výroby  (121,122,12X) - /192,193,19X/</t>
  </si>
  <si>
    <t>033</t>
  </si>
  <si>
    <t>Výrobky (123) - 194</t>
  </si>
  <si>
    <t>034</t>
  </si>
  <si>
    <t>Zvieratá (124) - 195</t>
  </si>
  <si>
    <t>035</t>
  </si>
  <si>
    <t>Tovar (132,13X,139) - /196,19X/</t>
  </si>
  <si>
    <t>036</t>
  </si>
  <si>
    <t>Poskytnuté preddavky na zásoby (314A) - 391A</t>
  </si>
  <si>
    <t>037</t>
  </si>
  <si>
    <t>B.ll.</t>
  </si>
  <si>
    <t>Dlhodobé pohľadávky súčet (r. 039 až 045)</t>
  </si>
  <si>
    <t>038</t>
  </si>
  <si>
    <t>B.ll.1.</t>
  </si>
  <si>
    <t>Pohľadávky z obchodného styku (311A,312A,313A,314A,315A,31XA) - 391A</t>
  </si>
  <si>
    <t>039</t>
  </si>
  <si>
    <t>Čistá hodnota zákazky (316A)</t>
  </si>
  <si>
    <t>040</t>
  </si>
  <si>
    <t>Pohľadávky voči dcérskej účtovnej jednotke a materskej účtovnej jednotke (351A) - 391A</t>
  </si>
  <si>
    <t>041</t>
  </si>
  <si>
    <t>Ostatné pohľadávky v rámci konsolidovaného celku (351A) - 391A</t>
  </si>
  <si>
    <t>Pohľadávky voči spoločníkom, členom a združeniu (354A,355A,358A,35XA) - 391A</t>
  </si>
  <si>
    <t>043</t>
  </si>
  <si>
    <t>Iné pohľadávky (335A,33XA,371A,373A,374A,375A,376A,378A) - 391A</t>
  </si>
  <si>
    <t>044</t>
  </si>
  <si>
    <t>Odložená daňová pohľadávka (481 A)</t>
  </si>
  <si>
    <t>045</t>
  </si>
  <si>
    <t>B.lll.</t>
  </si>
  <si>
    <t>Krátkodobé pohľadávky súčet (r. 047 až 054)</t>
  </si>
  <si>
    <t>046</t>
  </si>
  <si>
    <t>B.lll.1.</t>
  </si>
  <si>
    <t>047</t>
  </si>
  <si>
    <t>048</t>
  </si>
  <si>
    <t>049</t>
  </si>
  <si>
    <t>050</t>
  </si>
  <si>
    <t>Pohľadávky voči spoločníkom, členom a združeniu (354A,355A,358A,35XA,398A) - 391A</t>
  </si>
  <si>
    <t>051</t>
  </si>
  <si>
    <t>Sociálne poistenie (336) - 391A</t>
  </si>
  <si>
    <t>052</t>
  </si>
  <si>
    <t>Daňové pohľadávky a dotácie (341,342,343,345, 346, 347) - 391A</t>
  </si>
  <si>
    <t>053</t>
  </si>
  <si>
    <t>054</t>
  </si>
  <si>
    <t>B.lV.</t>
  </si>
  <si>
    <t>Finančné účty súčet (r. 056 až 060)</t>
  </si>
  <si>
    <t>055</t>
  </si>
  <si>
    <t>B.lV.1.</t>
  </si>
  <si>
    <t>Peniaze (211,213,21X)</t>
  </si>
  <si>
    <t>056</t>
  </si>
  <si>
    <t>Účty v bankách (221A,22X +/-261)</t>
  </si>
  <si>
    <t>057</t>
  </si>
  <si>
    <t>Účty v bankách s dobou viazanosti dlhšou ako jeden rok 22XA</t>
  </si>
  <si>
    <t>058</t>
  </si>
  <si>
    <t>Krátkodobý finančný majetok (251,253,256,257,25X) - /291,29X/</t>
  </si>
  <si>
    <t>059</t>
  </si>
  <si>
    <t>Obstarávaný krátkodobý finančný majetok (259, 314A) - 291</t>
  </si>
  <si>
    <t>060</t>
  </si>
  <si>
    <t>Časové rozlíšenie súčet (r. 062 a r. 065)</t>
  </si>
  <si>
    <t>061</t>
  </si>
  <si>
    <t>Náklady budúcich období dlhodobé (381A,382A)</t>
  </si>
  <si>
    <t>062</t>
  </si>
  <si>
    <t>Náklady budúcich období krátkodobé (381A,382A)</t>
  </si>
  <si>
    <t>063</t>
  </si>
  <si>
    <t>Príjmy budúcich období dlhodobé (385A)</t>
  </si>
  <si>
    <t>064</t>
  </si>
  <si>
    <t>Príjmy budúcich období krátkodobé (385A)</t>
  </si>
  <si>
    <t>065</t>
  </si>
  <si>
    <t>Kontrolné číslo súčet (r. 001 až r. 065)</t>
  </si>
  <si>
    <t>888</t>
  </si>
  <si>
    <t>Spolu vlastné imanie a záväky r. 067+ r. 088+ r. 121</t>
  </si>
  <si>
    <t>066</t>
  </si>
  <si>
    <t>Vlastné imanie r. 068+ r. 073+ r. 080+ r. 084+ r. 087</t>
  </si>
  <si>
    <t>067</t>
  </si>
  <si>
    <t>Základné imanie súčet (r. 069 až 072)</t>
  </si>
  <si>
    <t>068</t>
  </si>
  <si>
    <t>A.l.1.</t>
  </si>
  <si>
    <t>Základné imanie (411 alebo +/-491)</t>
  </si>
  <si>
    <t>069</t>
  </si>
  <si>
    <t>Vlastné akcie a vlastné obchodné podiely (/-/252)</t>
  </si>
  <si>
    <t>070</t>
  </si>
  <si>
    <t>Zmena základného imania +/-419</t>
  </si>
  <si>
    <t>071</t>
  </si>
  <si>
    <t>Pohľadávky za upísané vlastné imanie (/-/353)</t>
  </si>
  <si>
    <t>072</t>
  </si>
  <si>
    <t>Kapitálové fondy súčet (r. 074 až 079)</t>
  </si>
  <si>
    <t>Emisné ážio (412)</t>
  </si>
  <si>
    <t>074</t>
  </si>
  <si>
    <t>Ostatné kapitálové fondy (413)</t>
  </si>
  <si>
    <t>075</t>
  </si>
  <si>
    <t>Zákonný rezervný fond (Nedeliteľný fond) z kapitálových vkladov (417,418)</t>
  </si>
  <si>
    <t>076</t>
  </si>
  <si>
    <t>Oceňovacie rozdiely z precenenia majetku a záväzkov (+/-414)</t>
  </si>
  <si>
    <t>077</t>
  </si>
  <si>
    <t>Oceňovacie rozdiely z kapitálových účastín (+/-415)</t>
  </si>
  <si>
    <t>078</t>
  </si>
  <si>
    <t>Oceňovacie rozdiely z precenenia pri zlúčení, splynutí a rozdelení (+/-416)</t>
  </si>
  <si>
    <t>079</t>
  </si>
  <si>
    <t>Fondy zo zisku súčet (r. 081 až 083)</t>
  </si>
  <si>
    <t>080</t>
  </si>
  <si>
    <t>Zákonný rezervný fond (421)</t>
  </si>
  <si>
    <t>Nedeliteľný fond (422)</t>
  </si>
  <si>
    <t>Štatutárne fondy a ostatné fondy (423,427,42X)</t>
  </si>
  <si>
    <t>083</t>
  </si>
  <si>
    <t>A.lV.</t>
  </si>
  <si>
    <t>Výsledok hospodárenia minulých rokov r. 085 a r. 086</t>
  </si>
  <si>
    <t>084</t>
  </si>
  <si>
    <t>A.lV.1.</t>
  </si>
  <si>
    <t>Nerozdelený zisk minulých rokov (428)</t>
  </si>
  <si>
    <t>085</t>
  </si>
  <si>
    <t>Neuhradená strata minulých rokov (/-/429)</t>
  </si>
  <si>
    <t>086</t>
  </si>
  <si>
    <t>A.V.</t>
  </si>
  <si>
    <t>Výsledok hospodárenia za účtovné obdobie po zdanení /+-/ r.001- (r. 068+ r. 073+ r. 080+ r. 084+ r. 088+ r. 121)</t>
  </si>
  <si>
    <t>087</t>
  </si>
  <si>
    <t>Záväzky z r. 089+ r. 094+ r. 106+ r. 117 + r. 118</t>
  </si>
  <si>
    <t>088</t>
  </si>
  <si>
    <t>Rezervy súčet (r. 090 až 093)</t>
  </si>
  <si>
    <t>089</t>
  </si>
  <si>
    <t>Rezervy zákonné dlhodobé (451A)</t>
  </si>
  <si>
    <t>090</t>
  </si>
  <si>
    <t>Rezervy zákonné krátkodobé (323A, 451A)</t>
  </si>
  <si>
    <t>091</t>
  </si>
  <si>
    <t>Ostatné dlhodobé rezervy (459 A,45XA)</t>
  </si>
  <si>
    <t>092</t>
  </si>
  <si>
    <t>Ostatné krátkodobé rezervy (323A, 32X, 459A,45XA)</t>
  </si>
  <si>
    <t>093</t>
  </si>
  <si>
    <t>Dlhodobé záväzky súčet (r. 095 až 105)</t>
  </si>
  <si>
    <t>094</t>
  </si>
  <si>
    <t>Dlhodobé záväzky z obchodného styku (321A, 479A)</t>
  </si>
  <si>
    <t>095</t>
  </si>
  <si>
    <t>096</t>
  </si>
  <si>
    <t>Dlhodobé nevyfaktúrované dodávky (476A)</t>
  </si>
  <si>
    <t>097</t>
  </si>
  <si>
    <t>Dlhodobé záväzky voči dcérskej  účtovnej jednotke a materskej účtovnej jednotke (471A)</t>
  </si>
  <si>
    <t>098</t>
  </si>
  <si>
    <t>Ostatné dlhodobé záväzky v rámci konsolidovaného celku (471A)</t>
  </si>
  <si>
    <t>099</t>
  </si>
  <si>
    <t>Dlhodobé prijaté preddavky (475A)</t>
  </si>
  <si>
    <t>100</t>
  </si>
  <si>
    <t>Dlhodobé zmenky na úhradu (478A)</t>
  </si>
  <si>
    <t>101</t>
  </si>
  <si>
    <t>Vydané dlhopisy (473A,/-/255A)</t>
  </si>
  <si>
    <t>102</t>
  </si>
  <si>
    <t>Záväzky zo sociálneho fondu (472)</t>
  </si>
  <si>
    <t>103</t>
  </si>
  <si>
    <t>Ostatné dlhodobé záväzky (474A,479A,47XA,372A,373A,377A)</t>
  </si>
  <si>
    <t>104</t>
  </si>
  <si>
    <t>Odložený daňový záväzok (481A)</t>
  </si>
  <si>
    <t>105</t>
  </si>
  <si>
    <t>Krátkodobé záväzky súčet (r. 107 až 116)</t>
  </si>
  <si>
    <t>106</t>
  </si>
  <si>
    <t>B.lll.1</t>
  </si>
  <si>
    <t>Záväzky z obchodného styku (321,322,324,325,32X,475A,478A,479A,47XA)</t>
  </si>
  <si>
    <t>107</t>
  </si>
  <si>
    <t>108</t>
  </si>
  <si>
    <t>Nevyfakturované dodávky (326,476A)</t>
  </si>
  <si>
    <t>109</t>
  </si>
  <si>
    <t>Záväzky voči dcérskej účtovnej jednotke a materskej účtovnej jednotke (361A,471A)</t>
  </si>
  <si>
    <t>110</t>
  </si>
  <si>
    <t>Ostatné záväzky v rámci konsolidovaného celku (361A,36XA,471A,47XA)</t>
  </si>
  <si>
    <t>Záväzky voči spoločníkom a združeniu (364,365,366,367,368,398A,478A,479A)</t>
  </si>
  <si>
    <t>Záväzky voči zamestnancom (331,333,33X,479A)</t>
  </si>
  <si>
    <t>113</t>
  </si>
  <si>
    <t>Záväzky zo sociálneho poistenia (336,479A)</t>
  </si>
  <si>
    <t>114</t>
  </si>
  <si>
    <t>Daňové záväzky a dotácie (341,342,343,345,346,347,34X)</t>
  </si>
  <si>
    <t>115</t>
  </si>
  <si>
    <t>Ostatné záväzky (372A,373A,377A,379A,474A,479A,47X)</t>
  </si>
  <si>
    <t>116</t>
  </si>
  <si>
    <t>Krátkodobé finančné výpomoci (241,249,24X,473A,/-/255A)</t>
  </si>
  <si>
    <t>117</t>
  </si>
  <si>
    <t>B.V.</t>
  </si>
  <si>
    <t>Bankové úvery (r. 119 + r. 120)</t>
  </si>
  <si>
    <t>118</t>
  </si>
  <si>
    <t>Bankové úvery dlhodobé (461A,46XA)</t>
  </si>
  <si>
    <t>119</t>
  </si>
  <si>
    <t>Bežné bankové úvery (221A,231,232,23X,461A,46XA)</t>
  </si>
  <si>
    <t>120</t>
  </si>
  <si>
    <t>Časové rozlíšenie súčet (r. 122 až 125)</t>
  </si>
  <si>
    <t>121</t>
  </si>
  <si>
    <t>Výdavky budúcich období dlhodobé (383A)</t>
  </si>
  <si>
    <t>122</t>
  </si>
  <si>
    <t>Výdavky budúcich období krátkodobé (383A)</t>
  </si>
  <si>
    <t>123</t>
  </si>
  <si>
    <t>Výnosy budúcich období dlhodobé (384A)</t>
  </si>
  <si>
    <t>124</t>
  </si>
  <si>
    <t>Výnosy budúcich období krátkodobé (384A)</t>
  </si>
  <si>
    <t>125</t>
  </si>
  <si>
    <t>Dátum zostavenia ÚZ</t>
  </si>
  <si>
    <t>Obdobie od</t>
  </si>
  <si>
    <t>Obdobie do</t>
  </si>
  <si>
    <t>Bezprostredne predchádzajúce obdobie od</t>
  </si>
  <si>
    <t>01.01.2013</t>
  </si>
  <si>
    <t>Bezprostredne predchádzajúce obdobie do</t>
  </si>
  <si>
    <t>31.12.2013</t>
  </si>
  <si>
    <t>IČO</t>
  </si>
  <si>
    <t>DIČ</t>
  </si>
  <si>
    <t>Kód SK NACE</t>
  </si>
  <si>
    <t>Názov1</t>
  </si>
  <si>
    <t>Tehelňa STOVA, spol. s r. o.</t>
  </si>
  <si>
    <t>Názov2</t>
  </si>
  <si>
    <t>Ulica</t>
  </si>
  <si>
    <t>Letecká</t>
  </si>
  <si>
    <t>Číslo</t>
  </si>
  <si>
    <t>PSČ</t>
  </si>
  <si>
    <t>Názov obce</t>
  </si>
  <si>
    <t>Spišská Nová Ves</t>
  </si>
  <si>
    <t>Číslo telefónu</t>
  </si>
  <si>
    <t>053/4172777_x000D_
053/4172742</t>
  </si>
  <si>
    <t>Číslo faxu</t>
  </si>
  <si>
    <t>053/4172704</t>
  </si>
  <si>
    <t>E-mail</t>
  </si>
  <si>
    <t>baumarket@stova.sk</t>
  </si>
  <si>
    <t>502002</t>
  </si>
  <si>
    <t>Spotreba elektrickej energie</t>
  </si>
  <si>
    <t>014000</t>
  </si>
  <si>
    <t>074000</t>
  </si>
  <si>
    <t>Oprávky k oceniteľným právam</t>
  </si>
  <si>
    <t>325000</t>
  </si>
  <si>
    <t>Ostatné záväzky</t>
  </si>
  <si>
    <t>333000</t>
  </si>
  <si>
    <t>Ostatné záväzky voči zamestnancom</t>
  </si>
  <si>
    <t>378001</t>
  </si>
  <si>
    <t>Iné pohľadávky - POS teminál transakcie</t>
  </si>
  <si>
    <t>395343</t>
  </si>
  <si>
    <t>Zmena DPH</t>
  </si>
  <si>
    <t>474010</t>
  </si>
  <si>
    <t>Leasing VW Tiguan</t>
  </si>
  <si>
    <t>474090</t>
  </si>
  <si>
    <t xml:space="preserve">leasing MAN TGA </t>
  </si>
  <si>
    <t>479000</t>
  </si>
  <si>
    <t>Ostatné dlhodobé záväzky</t>
  </si>
  <si>
    <t>518013</t>
  </si>
  <si>
    <t>Ostatné služby - leasing</t>
  </si>
  <si>
    <t>518999</t>
  </si>
  <si>
    <t>Ostatné služby-pripoč.položky</t>
  </si>
  <si>
    <t>547000</t>
  </si>
  <si>
    <t>Tvorba a zúčtovanie opr. pol. k pohľad.-ovpl. ZD</t>
  </si>
  <si>
    <t>551999</t>
  </si>
  <si>
    <t>Účtovný odpis - neovplyvňujúci DZ</t>
  </si>
  <si>
    <t>592000</t>
  </si>
  <si>
    <t>Odložená daň z príjmov z bežnej činnosti</t>
  </si>
  <si>
    <t>325</t>
  </si>
  <si>
    <t>333</t>
  </si>
  <si>
    <t>479</t>
  </si>
  <si>
    <t>547</t>
  </si>
  <si>
    <t>Tvorba a zúčtovanie opr. položiek k pohľadávkam</t>
  </si>
  <si>
    <t>592</t>
  </si>
  <si>
    <t>Daň z príjmov z bežnej činnosti-odložená</t>
  </si>
  <si>
    <t>01.01.2012</t>
  </si>
  <si>
    <t>31.12.2012</t>
  </si>
  <si>
    <t>Valent Stolárik</t>
  </si>
  <si>
    <t>Ing. Rudolf Stolárik</t>
  </si>
  <si>
    <t>Ing. Roman Stolárik</t>
  </si>
  <si>
    <t>neaktuálne</t>
  </si>
  <si>
    <t>neatuálne</t>
  </si>
  <si>
    <t>na odvody pistného</t>
  </si>
  <si>
    <t>na auditorskú činnosť</t>
  </si>
  <si>
    <t>na zverejnenie účt. závierky</t>
  </si>
  <si>
    <t>na dodávky plynu</t>
  </si>
  <si>
    <t>volať</t>
  </si>
  <si>
    <t>na mzdy a dovolenky</t>
  </si>
  <si>
    <t xml:space="preserve">Dlhodobý úver </t>
  </si>
  <si>
    <t>eur</t>
  </si>
  <si>
    <t>ktk úver VÚB</t>
  </si>
  <si>
    <t>ktk úver Prima Banka</t>
  </si>
  <si>
    <t>Dotácia Min.kultúry SR</t>
  </si>
  <si>
    <t>dotácia Mesto SNV</t>
  </si>
  <si>
    <t>Služby</t>
  </si>
  <si>
    <t>výnosové úroky</t>
  </si>
  <si>
    <t>Tržby z predaja majetku a materiálu</t>
  </si>
  <si>
    <t xml:space="preserve">náklady na reklamu a inzerciu </t>
  </si>
  <si>
    <t xml:space="preserve">Náklady na soc. poistenie </t>
  </si>
  <si>
    <t xml:space="preserve">Spotr. matetiálu energie a ostat </t>
  </si>
  <si>
    <t>29.03.2014</t>
  </si>
  <si>
    <t>D</t>
  </si>
  <si>
    <t xml:space="preserve">Dodávateľské faktúry </t>
  </si>
  <si>
    <t xml:space="preserve">leasing splátky </t>
  </si>
  <si>
    <t>DÚ splatný v nasl. roku</t>
  </si>
  <si>
    <t>Stoláriková Helena</t>
  </si>
  <si>
    <t>Ing. Suchý Jozef</t>
  </si>
  <si>
    <t>Dotácia Mesto SNV</t>
  </si>
  <si>
    <t xml:space="preserve">Príspevok z úradu práce </t>
  </si>
  <si>
    <t>finančné skonto</t>
  </si>
  <si>
    <t xml:space="preserve">opravy a udržiavanie </t>
  </si>
  <si>
    <t>úroky za úvery, leasingy</t>
  </si>
  <si>
    <t xml:space="preserve">Poistné, poplatky </t>
  </si>
  <si>
    <t>doprava - refakturácia</t>
  </si>
  <si>
    <t xml:space="preserve">Odpisy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</si>
</sst>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theme="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color rgb="FFFF0000"/>
      <name val="Arial Narrow"/>
      <family val="2"/>
      <charset val="238"/>
    </font>
    <font>
      <b/>
      <i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rgb="FF000000"/>
      </right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 style="thick">
        <color indexed="64"/>
      </left>
      <right style="thick">
        <color rgb="FF000000"/>
      </right>
      <top/>
      <bottom style="medium">
        <color indexed="64"/>
      </bottom>
      <diagonal/>
    </border>
    <border>
      <left style="thick">
        <color indexed="64"/>
      </left>
      <right style="thick">
        <color rgb="FF000000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/>
  </cellStyleXfs>
  <cellXfs count="402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justify"/>
    </xf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0" fillId="0" borderId="43" xfId="0" applyBorder="1" applyAlignment="1">
      <alignment horizontal="center"/>
    </xf>
    <xf numFmtId="0" fontId="0" fillId="0" borderId="43" xfId="0" applyBorder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3" fontId="6" fillId="0" borderId="6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3" fontId="6" fillId="0" borderId="8" xfId="0" applyNumberFormat="1" applyFont="1" applyBorder="1" applyAlignment="1">
      <alignment horizontal="right" vertical="center" wrapText="1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right" vertical="center" wrapText="1"/>
    </xf>
    <xf numFmtId="9" fontId="6" fillId="0" borderId="6" xfId="1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3" fontId="6" fillId="0" borderId="14" xfId="0" applyNumberFormat="1" applyFont="1" applyBorder="1" applyAlignment="1">
      <alignment horizontal="right" vertical="center" wrapText="1"/>
    </xf>
    <xf numFmtId="9" fontId="6" fillId="0" borderId="14" xfId="0" applyNumberFormat="1" applyFont="1" applyBorder="1" applyAlignment="1">
      <alignment horizontal="right" vertical="center" wrapText="1"/>
    </xf>
    <xf numFmtId="9" fontId="6" fillId="0" borderId="14" xfId="1" applyFont="1" applyBorder="1" applyAlignment="1">
      <alignment horizontal="right" vertical="center" wrapText="1"/>
    </xf>
    <xf numFmtId="9" fontId="6" fillId="0" borderId="8" xfId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9" fontId="6" fillId="0" borderId="13" xfId="1" applyNumberFormat="1" applyFont="1" applyBorder="1" applyAlignment="1">
      <alignment horizontal="right" vertical="center" wrapText="1"/>
    </xf>
    <xf numFmtId="9" fontId="6" fillId="0" borderId="6" xfId="1" applyNumberFormat="1" applyFont="1" applyBorder="1" applyAlignment="1">
      <alignment horizontal="right" vertical="center" wrapText="1"/>
    </xf>
    <xf numFmtId="0" fontId="6" fillId="0" borderId="14" xfId="0" applyFont="1" applyBorder="1" applyAlignment="1">
      <alignment horizontal="center" vertical="center" wrapText="1"/>
    </xf>
    <xf numFmtId="9" fontId="6" fillId="0" borderId="14" xfId="1" applyNumberFormat="1" applyFont="1" applyBorder="1" applyAlignment="1">
      <alignment horizontal="right" vertical="center" wrapText="1"/>
    </xf>
    <xf numFmtId="9" fontId="6" fillId="0" borderId="8" xfId="1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5" fillId="0" borderId="10" xfId="0" applyFont="1" applyBorder="1" applyAlignment="1">
      <alignment horizontal="center" vertical="center" wrapText="1"/>
    </xf>
    <xf numFmtId="0" fontId="0" fillId="0" borderId="0" xfId="0" applyAlignment="1"/>
    <xf numFmtId="0" fontId="5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3" fontId="6" fillId="0" borderId="16" xfId="0" applyNumberFormat="1" applyFont="1" applyBorder="1" applyAlignment="1">
      <alignment horizontal="right" vertical="center" wrapText="1"/>
    </xf>
    <xf numFmtId="3" fontId="6" fillId="0" borderId="18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9" fontId="6" fillId="0" borderId="13" xfId="1" applyFont="1" applyBorder="1" applyAlignment="1">
      <alignment horizontal="center" vertical="center" wrapText="1"/>
    </xf>
    <xf numFmtId="9" fontId="6" fillId="0" borderId="14" xfId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right" vertical="center" wrapText="1"/>
    </xf>
    <xf numFmtId="0" fontId="5" fillId="0" borderId="32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right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justify"/>
    </xf>
    <xf numFmtId="0" fontId="5" fillId="0" borderId="15" xfId="0" applyFont="1" applyBorder="1" applyAlignment="1">
      <alignment vertical="center" wrapText="1"/>
    </xf>
    <xf numFmtId="3" fontId="6" fillId="0" borderId="13" xfId="0" applyNumberFormat="1" applyFont="1" applyBorder="1" applyAlignment="1">
      <alignment horizontal="right" vertical="center" wrapText="1" indent="1"/>
    </xf>
    <xf numFmtId="3" fontId="6" fillId="0" borderId="6" xfId="0" applyNumberFormat="1" applyFont="1" applyBorder="1" applyAlignment="1">
      <alignment horizontal="right" vertical="center" wrapText="1" inden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32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13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5" fillId="0" borderId="14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vertical="center"/>
    </xf>
    <xf numFmtId="0" fontId="5" fillId="0" borderId="32" xfId="0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/>
    </xf>
    <xf numFmtId="0" fontId="6" fillId="0" borderId="30" xfId="0" applyFont="1" applyBorder="1" applyAlignment="1">
      <alignment vertical="center" wrapText="1"/>
    </xf>
    <xf numFmtId="0" fontId="6" fillId="0" borderId="44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3" fontId="6" fillId="0" borderId="13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9" fontId="6" fillId="0" borderId="13" xfId="1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5" fillId="0" borderId="26" xfId="0" applyFont="1" applyBorder="1" applyAlignment="1">
      <alignment horizontal="right" vertical="center"/>
    </xf>
    <xf numFmtId="9" fontId="6" fillId="0" borderId="14" xfId="1" applyFont="1" applyBorder="1" applyAlignment="1">
      <alignment horizontal="right" vertical="center"/>
    </xf>
    <xf numFmtId="9" fontId="6" fillId="0" borderId="6" xfId="1" applyFont="1" applyBorder="1" applyAlignment="1">
      <alignment horizontal="right" vertical="center"/>
    </xf>
    <xf numFmtId="0" fontId="6" fillId="0" borderId="34" xfId="0" applyFont="1" applyBorder="1" applyAlignment="1">
      <alignment vertical="center" wrapText="1"/>
    </xf>
    <xf numFmtId="3" fontId="6" fillId="0" borderId="17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right" vertical="center"/>
    </xf>
    <xf numFmtId="3" fontId="6" fillId="0" borderId="26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6" fillId="0" borderId="39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6" fillId="0" borderId="42" xfId="0" applyFont="1" applyBorder="1" applyAlignment="1">
      <alignment horizontal="left" vertical="center"/>
    </xf>
    <xf numFmtId="0" fontId="6" fillId="0" borderId="40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vertical="center"/>
    </xf>
    <xf numFmtId="3" fontId="6" fillId="0" borderId="16" xfId="0" applyNumberFormat="1" applyFont="1" applyBorder="1" applyAlignment="1">
      <alignment horizontal="right" vertical="center"/>
    </xf>
    <xf numFmtId="3" fontId="6" fillId="0" borderId="18" xfId="0" applyNumberFormat="1" applyFont="1" applyBorder="1" applyAlignment="1">
      <alignment horizontal="right" vertical="center"/>
    </xf>
    <xf numFmtId="3" fontId="5" fillId="0" borderId="18" xfId="0" applyNumberFormat="1" applyFont="1" applyBorder="1" applyAlignment="1">
      <alignment horizontal="right" vertical="center"/>
    </xf>
    <xf numFmtId="3" fontId="5" fillId="0" borderId="46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3" fontId="5" fillId="0" borderId="6" xfId="0" applyNumberFormat="1" applyFont="1" applyBorder="1" applyAlignment="1">
      <alignment horizontal="right" vertical="center"/>
    </xf>
    <xf numFmtId="3" fontId="6" fillId="0" borderId="29" xfId="0" applyNumberFormat="1" applyFont="1" applyBorder="1" applyAlignment="1">
      <alignment horizontal="right" vertical="center"/>
    </xf>
    <xf numFmtId="3" fontId="6" fillId="0" borderId="47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5" fillId="0" borderId="26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9" fontId="6" fillId="0" borderId="8" xfId="1" applyFont="1" applyBorder="1" applyAlignment="1">
      <alignment horizontal="right" vertical="center"/>
    </xf>
    <xf numFmtId="3" fontId="6" fillId="0" borderId="36" xfId="0" applyNumberFormat="1" applyFont="1" applyBorder="1" applyAlignment="1">
      <alignment horizontal="right" vertical="center"/>
    </xf>
    <xf numFmtId="3" fontId="6" fillId="0" borderId="37" xfId="0" applyNumberFormat="1" applyFont="1" applyBorder="1" applyAlignment="1">
      <alignment horizontal="right" vertical="center"/>
    </xf>
    <xf numFmtId="3" fontId="6" fillId="0" borderId="38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3" fontId="6" fillId="0" borderId="38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6" fillId="0" borderId="30" xfId="0" applyNumberFormat="1" applyFont="1" applyBorder="1" applyAlignment="1">
      <alignment horizontal="right" vertical="center"/>
    </xf>
    <xf numFmtId="3" fontId="6" fillId="0" borderId="44" xfId="0" applyNumberFormat="1" applyFont="1" applyBorder="1" applyAlignment="1">
      <alignment horizontal="right" vertical="center"/>
    </xf>
    <xf numFmtId="0" fontId="0" fillId="0" borderId="0" xfId="0" applyFill="1" applyBorder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3" fontId="6" fillId="0" borderId="13" xfId="0" applyNumberFormat="1" applyFont="1" applyBorder="1" applyAlignment="1">
      <alignment horizontal="center" vertical="center" wrapText="1"/>
    </xf>
    <xf numFmtId="0" fontId="10" fillId="0" borderId="0" xfId="0" applyFont="1"/>
    <xf numFmtId="0" fontId="6" fillId="0" borderId="22" xfId="0" applyFont="1" applyBorder="1" applyAlignment="1">
      <alignment vertical="center" wrapText="1"/>
    </xf>
    <xf numFmtId="0" fontId="6" fillId="0" borderId="49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3" fontId="5" fillId="0" borderId="44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vertical="center" wrapText="1"/>
    </xf>
    <xf numFmtId="0" fontId="12" fillId="0" borderId="0" xfId="0" applyFont="1"/>
    <xf numFmtId="0" fontId="9" fillId="0" borderId="0" xfId="0" applyFont="1" applyAlignment="1">
      <alignment vertical="center"/>
    </xf>
    <xf numFmtId="3" fontId="5" fillId="0" borderId="44" xfId="0" applyNumberFormat="1" applyFont="1" applyBorder="1" applyAlignment="1">
      <alignment horizontal="right" vertical="center"/>
    </xf>
    <xf numFmtId="3" fontId="5" fillId="0" borderId="50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30" xfId="0" applyNumberFormat="1" applyFont="1" applyBorder="1" applyAlignment="1">
      <alignment horizontal="right" vertical="center"/>
    </xf>
    <xf numFmtId="0" fontId="6" fillId="0" borderId="16" xfId="0" applyFont="1" applyBorder="1" applyAlignment="1">
      <alignment horizontal="center" vertical="center"/>
    </xf>
    <xf numFmtId="9" fontId="6" fillId="0" borderId="16" xfId="1" applyFont="1" applyBorder="1" applyAlignment="1">
      <alignment horizontal="right" vertical="center"/>
    </xf>
    <xf numFmtId="14" fontId="6" fillId="0" borderId="16" xfId="0" applyNumberFormat="1" applyFont="1" applyBorder="1" applyAlignment="1">
      <alignment horizontal="right" vertical="center"/>
    </xf>
    <xf numFmtId="0" fontId="6" fillId="0" borderId="5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53" xfId="0" applyNumberFormat="1" applyFont="1" applyBorder="1" applyAlignment="1">
      <alignment horizontal="right" vertical="center" wrapText="1"/>
    </xf>
    <xf numFmtId="3" fontId="5" fillId="0" borderId="13" xfId="0" applyNumberFormat="1" applyFont="1" applyBorder="1" applyAlignment="1">
      <alignment horizontal="right" vertical="center" wrapText="1"/>
    </xf>
    <xf numFmtId="0" fontId="11" fillId="0" borderId="0" xfId="0" applyFont="1"/>
    <xf numFmtId="3" fontId="15" fillId="2" borderId="13" xfId="0" applyNumberFormat="1" applyFont="1" applyFill="1" applyBorder="1" applyAlignment="1">
      <alignment horizontal="right" vertical="center" wrapText="1"/>
    </xf>
    <xf numFmtId="3" fontId="15" fillId="2" borderId="17" xfId="0" applyNumberFormat="1" applyFont="1" applyFill="1" applyBorder="1" applyAlignment="1">
      <alignment horizontal="right" vertical="center" wrapText="1"/>
    </xf>
    <xf numFmtId="0" fontId="15" fillId="2" borderId="11" xfId="0" applyFont="1" applyFill="1" applyBorder="1" applyAlignment="1">
      <alignment vertical="center" wrapText="1"/>
    </xf>
    <xf numFmtId="3" fontId="15" fillId="2" borderId="14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2" borderId="0" xfId="0" applyFill="1"/>
    <xf numFmtId="0" fontId="0" fillId="0" borderId="0" xfId="0" applyBorder="1"/>
    <xf numFmtId="49" fontId="15" fillId="0" borderId="0" xfId="0" applyNumberFormat="1" applyFont="1" applyBorder="1" applyAlignment="1">
      <alignment horizontal="left" vertical="top"/>
    </xf>
    <xf numFmtId="0" fontId="15" fillId="0" borderId="0" xfId="0" applyFont="1" applyBorder="1" applyAlignment="1">
      <alignment horizontal="left" vertical="top"/>
    </xf>
    <xf numFmtId="164" fontId="15" fillId="0" borderId="0" xfId="0" applyNumberFormat="1" applyFont="1" applyBorder="1" applyAlignment="1">
      <alignment horizontal="right" vertical="top"/>
    </xf>
    <xf numFmtId="49" fontId="6" fillId="0" borderId="0" xfId="0" applyNumberFormat="1" applyFont="1" applyBorder="1"/>
    <xf numFmtId="0" fontId="6" fillId="0" borderId="0" xfId="0" applyFont="1" applyBorder="1"/>
    <xf numFmtId="164" fontId="6" fillId="0" borderId="0" xfId="0" applyNumberFormat="1" applyFont="1" applyBorder="1"/>
    <xf numFmtId="0" fontId="17" fillId="0" borderId="0" xfId="0" applyFont="1" applyBorder="1"/>
    <xf numFmtId="49" fontId="17" fillId="0" borderId="0" xfId="0" applyNumberFormat="1" applyFont="1" applyBorder="1"/>
    <xf numFmtId="164" fontId="17" fillId="0" borderId="0" xfId="0" applyNumberFormat="1" applyFont="1" applyBorder="1"/>
    <xf numFmtId="49" fontId="16" fillId="3" borderId="43" xfId="0" applyNumberFormat="1" applyFont="1" applyFill="1" applyBorder="1" applyAlignment="1">
      <alignment horizontal="left" vertical="top" wrapText="1"/>
    </xf>
    <xf numFmtId="0" fontId="16" fillId="3" borderId="43" xfId="0" applyFont="1" applyFill="1" applyBorder="1" applyAlignment="1">
      <alignment horizontal="left" vertical="top" wrapText="1"/>
    </xf>
    <xf numFmtId="164" fontId="16" fillId="3" borderId="43" xfId="0" applyNumberFormat="1" applyFont="1" applyFill="1" applyBorder="1" applyAlignment="1">
      <alignment horizontal="right" vertical="top" wrapText="1"/>
    </xf>
    <xf numFmtId="0" fontId="6" fillId="3" borderId="43" xfId="0" applyFont="1" applyFill="1" applyBorder="1"/>
    <xf numFmtId="49" fontId="6" fillId="0" borderId="0" xfId="0" applyNumberFormat="1" applyFont="1" applyAlignment="1">
      <alignment vertical="center"/>
    </xf>
    <xf numFmtId="3" fontId="6" fillId="2" borderId="6" xfId="0" applyNumberFormat="1" applyFont="1" applyFill="1" applyBorder="1" applyAlignment="1">
      <alignment horizontal="right" vertical="center" wrapText="1"/>
    </xf>
    <xf numFmtId="0" fontId="11" fillId="2" borderId="0" xfId="0" applyFont="1" applyFill="1" applyAlignment="1">
      <alignment horizontal="center"/>
    </xf>
    <xf numFmtId="3" fontId="6" fillId="2" borderId="8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3" fontId="6" fillId="2" borderId="13" xfId="0" applyNumberFormat="1" applyFont="1" applyFill="1" applyBorder="1" applyAlignment="1">
      <alignment horizontal="right" vertical="center" wrapText="1"/>
    </xf>
    <xf numFmtId="3" fontId="6" fillId="2" borderId="14" xfId="0" applyNumberFormat="1" applyFont="1" applyFill="1" applyBorder="1" applyAlignment="1">
      <alignment horizontal="right" vertical="center" wrapText="1"/>
    </xf>
    <xf numFmtId="0" fontId="13" fillId="2" borderId="0" xfId="0" applyFont="1" applyFill="1" applyAlignment="1">
      <alignment horizontal="center"/>
    </xf>
    <xf numFmtId="0" fontId="10" fillId="2" borderId="0" xfId="0" applyFont="1" applyFill="1"/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2" borderId="0" xfId="0" applyFont="1" applyFill="1"/>
    <xf numFmtId="3" fontId="14" fillId="2" borderId="13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19" xfId="0" applyFont="1" applyFill="1" applyBorder="1" applyAlignment="1">
      <alignment horizontal="right" vertical="center" wrapText="1"/>
    </xf>
    <xf numFmtId="1" fontId="14" fillId="2" borderId="37" xfId="0" applyNumberFormat="1" applyFont="1" applyFill="1" applyBorder="1" applyAlignment="1">
      <alignment horizontal="right" vertical="center" wrapText="1"/>
    </xf>
    <xf numFmtId="3" fontId="9" fillId="2" borderId="13" xfId="0" applyNumberFormat="1" applyFont="1" applyFill="1" applyBorder="1" applyAlignment="1">
      <alignment horizontal="right" vertical="center" wrapText="1"/>
    </xf>
    <xf numFmtId="0" fontId="15" fillId="2" borderId="11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0" fillId="2" borderId="0" xfId="0" applyFill="1" applyAlignment="1">
      <alignment wrapText="1"/>
    </xf>
    <xf numFmtId="0" fontId="6" fillId="2" borderId="1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15" fillId="2" borderId="0" xfId="0" applyFont="1" applyFill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4" fillId="2" borderId="5" xfId="0" applyFont="1" applyFill="1" applyBorder="1" applyAlignment="1">
      <alignment vertical="center" wrapText="1"/>
    </xf>
    <xf numFmtId="3" fontId="15" fillId="2" borderId="6" xfId="0" applyNumberFormat="1" applyFont="1" applyFill="1" applyBorder="1" applyAlignment="1">
      <alignment horizontal="right" vertical="center" wrapText="1"/>
    </xf>
    <xf numFmtId="0" fontId="15" fillId="2" borderId="5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vertical="center" wrapText="1"/>
    </xf>
    <xf numFmtId="3" fontId="15" fillId="2" borderId="8" xfId="0" applyNumberFormat="1" applyFont="1" applyFill="1" applyBorder="1" applyAlignment="1">
      <alignment horizontal="right" vertical="center" wrapText="1"/>
    </xf>
    <xf numFmtId="0" fontId="15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14" fillId="2" borderId="10" xfId="0" applyFont="1" applyFill="1" applyBorder="1" applyAlignment="1">
      <alignment horizontal="right" vertical="center" wrapText="1"/>
    </xf>
    <xf numFmtId="3" fontId="9" fillId="2" borderId="0" xfId="0" applyNumberFormat="1" applyFont="1" applyFill="1" applyBorder="1" applyAlignment="1">
      <alignment horizontal="center" vertical="center" wrapText="1"/>
    </xf>
    <xf numFmtId="3" fontId="14" fillId="2" borderId="8" xfId="0" applyNumberFormat="1" applyFont="1" applyFill="1" applyBorder="1" applyAlignment="1">
      <alignment horizontal="right" vertical="center" wrapText="1"/>
    </xf>
    <xf numFmtId="3" fontId="15" fillId="0" borderId="13" xfId="0" applyNumberFormat="1" applyFont="1" applyBorder="1" applyAlignment="1">
      <alignment horizontal="right" vertical="center" wrapText="1"/>
    </xf>
    <xf numFmtId="3" fontId="14" fillId="2" borderId="0" xfId="0" applyNumberFormat="1" applyFont="1" applyFill="1" applyBorder="1" applyAlignment="1">
      <alignment horizontal="center" vertical="center" wrapText="1"/>
    </xf>
    <xf numFmtId="3" fontId="14" fillId="2" borderId="37" xfId="0" applyNumberFormat="1" applyFont="1" applyFill="1" applyBorder="1" applyAlignment="1">
      <alignment horizontal="right" vertical="center" wrapText="1"/>
    </xf>
    <xf numFmtId="3" fontId="14" fillId="2" borderId="17" xfId="0" applyNumberFormat="1" applyFont="1" applyFill="1" applyBorder="1" applyAlignment="1">
      <alignment horizontal="right" vertical="center" wrapText="1"/>
    </xf>
    <xf numFmtId="0" fontId="18" fillId="2" borderId="0" xfId="0" applyFont="1" applyFill="1" applyAlignment="1">
      <alignment horizontal="right" wrapText="1"/>
    </xf>
    <xf numFmtId="3" fontId="14" fillId="2" borderId="0" xfId="0" applyNumberFormat="1" applyFont="1" applyFill="1" applyBorder="1" applyAlignment="1">
      <alignment horizontal="right" vertical="center" wrapText="1"/>
    </xf>
    <xf numFmtId="3" fontId="14" fillId="2" borderId="53" xfId="0" applyNumberFormat="1" applyFont="1" applyFill="1" applyBorder="1" applyAlignment="1">
      <alignment horizontal="right" vertical="center" wrapText="1"/>
    </xf>
    <xf numFmtId="0" fontId="18" fillId="2" borderId="0" xfId="0" applyFont="1" applyFill="1"/>
    <xf numFmtId="3" fontId="14" fillId="2" borderId="6" xfId="0" applyNumberFormat="1" applyFont="1" applyFill="1" applyBorder="1" applyAlignment="1">
      <alignment horizontal="right" vertical="center" wrapText="1"/>
    </xf>
    <xf numFmtId="0" fontId="18" fillId="2" borderId="0" xfId="0" applyFont="1" applyFill="1" applyAlignment="1">
      <alignment horizontal="right"/>
    </xf>
    <xf numFmtId="3" fontId="14" fillId="2" borderId="50" xfId="0" applyNumberFormat="1" applyFont="1" applyFill="1" applyBorder="1" applyAlignment="1">
      <alignment horizontal="right" vertical="center" wrapText="1"/>
    </xf>
    <xf numFmtId="3" fontId="14" fillId="2" borderId="51" xfId="0" applyNumberFormat="1" applyFont="1" applyFill="1" applyBorder="1" applyAlignment="1">
      <alignment horizontal="right" vertical="center" wrapText="1"/>
    </xf>
    <xf numFmtId="3" fontId="14" fillId="2" borderId="30" xfId="0" applyNumberFormat="1" applyFont="1" applyFill="1" applyBorder="1" applyAlignment="1">
      <alignment horizontal="right" vertical="center" wrapText="1"/>
    </xf>
    <xf numFmtId="3" fontId="14" fillId="2" borderId="31" xfId="0" applyNumberFormat="1" applyFont="1" applyFill="1" applyBorder="1" applyAlignment="1">
      <alignment horizontal="right" vertical="center" wrapText="1"/>
    </xf>
    <xf numFmtId="3" fontId="15" fillId="2" borderId="13" xfId="0" applyNumberFormat="1" applyFont="1" applyFill="1" applyBorder="1" applyAlignment="1">
      <alignment horizontal="right" vertical="center"/>
    </xf>
    <xf numFmtId="3" fontId="14" fillId="2" borderId="6" xfId="0" applyNumberFormat="1" applyFont="1" applyFill="1" applyBorder="1" applyAlignment="1">
      <alignment horizontal="right" vertical="center"/>
    </xf>
    <xf numFmtId="3" fontId="15" fillId="2" borderId="30" xfId="0" applyNumberFormat="1" applyFont="1" applyFill="1" applyBorder="1" applyAlignment="1">
      <alignment horizontal="right" vertical="center"/>
    </xf>
    <xf numFmtId="3" fontId="15" fillId="2" borderId="5" xfId="0" applyNumberFormat="1" applyFont="1" applyFill="1" applyBorder="1" applyAlignment="1">
      <alignment horizontal="right" vertical="center"/>
    </xf>
    <xf numFmtId="3" fontId="15" fillId="2" borderId="44" xfId="0" applyNumberFormat="1" applyFont="1" applyFill="1" applyBorder="1" applyAlignment="1">
      <alignment horizontal="right" vertical="center"/>
    </xf>
    <xf numFmtId="3" fontId="15" fillId="2" borderId="7" xfId="0" applyNumberFormat="1" applyFont="1" applyFill="1" applyBorder="1" applyAlignment="1">
      <alignment horizontal="right" vertical="center"/>
    </xf>
    <xf numFmtId="3" fontId="14" fillId="2" borderId="48" xfId="0" applyNumberFormat="1" applyFont="1" applyFill="1" applyBorder="1" applyAlignment="1">
      <alignment horizontal="right" vertical="center"/>
    </xf>
    <xf numFmtId="3" fontId="14" fillId="2" borderId="32" xfId="0" applyNumberFormat="1" applyFont="1" applyFill="1" applyBorder="1" applyAlignment="1">
      <alignment horizontal="right" vertical="center"/>
    </xf>
    <xf numFmtId="3" fontId="14" fillId="2" borderId="0" xfId="0" applyNumberFormat="1" applyFont="1" applyFill="1" applyBorder="1" applyAlignment="1">
      <alignment horizontal="right" vertical="center"/>
    </xf>
    <xf numFmtId="0" fontId="14" fillId="2" borderId="8" xfId="0" applyFont="1" applyFill="1" applyBorder="1" applyAlignment="1">
      <alignment horizontal="center" vertical="center"/>
    </xf>
    <xf numFmtId="3" fontId="15" fillId="2" borderId="6" xfId="0" applyNumberFormat="1" applyFont="1" applyFill="1" applyBorder="1" applyAlignment="1">
      <alignment horizontal="right" vertical="center"/>
    </xf>
    <xf numFmtId="3" fontId="15" fillId="2" borderId="8" xfId="0" applyNumberFormat="1" applyFont="1" applyFill="1" applyBorder="1" applyAlignment="1">
      <alignment horizontal="right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right" vertical="center"/>
    </xf>
    <xf numFmtId="0" fontId="15" fillId="2" borderId="16" xfId="0" applyFont="1" applyFill="1" applyBorder="1" applyAlignment="1">
      <alignment horizontal="right" vertical="center"/>
    </xf>
    <xf numFmtId="0" fontId="15" fillId="2" borderId="13" xfId="0" applyFont="1" applyFill="1" applyBorder="1" applyAlignment="1">
      <alignment horizontal="right" vertical="center"/>
    </xf>
    <xf numFmtId="0" fontId="15" fillId="2" borderId="14" xfId="0" applyFont="1" applyFill="1" applyBorder="1" applyAlignment="1">
      <alignment horizontal="right" vertical="center"/>
    </xf>
    <xf numFmtId="3" fontId="14" fillId="2" borderId="4" xfId="0" applyNumberFormat="1" applyFont="1" applyFill="1" applyBorder="1" applyAlignment="1">
      <alignment horizontal="right" vertical="center" wrapText="1"/>
    </xf>
    <xf numFmtId="49" fontId="14" fillId="2" borderId="30" xfId="0" applyNumberFormat="1" applyFont="1" applyFill="1" applyBorder="1" applyAlignment="1">
      <alignment horizontal="right" vertical="center" wrapText="1"/>
    </xf>
    <xf numFmtId="49" fontId="14" fillId="2" borderId="6" xfId="0" applyNumberFormat="1" applyFont="1" applyFill="1" applyBorder="1" applyAlignment="1">
      <alignment horizontal="right" vertical="center" wrapText="1"/>
    </xf>
    <xf numFmtId="0" fontId="14" fillId="2" borderId="30" xfId="0" applyFont="1" applyFill="1" applyBorder="1" applyAlignment="1">
      <alignment horizontal="right" vertical="center" wrapText="1"/>
    </xf>
    <xf numFmtId="0" fontId="14" fillId="2" borderId="6" xfId="0" applyFont="1" applyFill="1" applyBorder="1" applyAlignment="1">
      <alignment horizontal="right" vertical="center" wrapText="1"/>
    </xf>
    <xf numFmtId="49" fontId="14" fillId="2" borderId="44" xfId="0" applyNumberFormat="1" applyFont="1" applyFill="1" applyBorder="1" applyAlignment="1">
      <alignment horizontal="right" vertical="center" wrapText="1"/>
    </xf>
    <xf numFmtId="49" fontId="14" fillId="2" borderId="8" xfId="0" applyNumberFormat="1" applyFont="1" applyFill="1" applyBorder="1" applyAlignment="1">
      <alignment horizontal="right" vertical="center" wrapText="1"/>
    </xf>
    <xf numFmtId="1" fontId="14" fillId="2" borderId="6" xfId="0" applyNumberFormat="1" applyFont="1" applyFill="1" applyBorder="1" applyAlignment="1">
      <alignment horizontal="right" vertical="center" wrapText="1"/>
    </xf>
    <xf numFmtId="3" fontId="15" fillId="2" borderId="52" xfId="0" applyNumberFormat="1" applyFont="1" applyFill="1" applyBorder="1" applyAlignment="1">
      <alignment horizontal="right" vertical="center"/>
    </xf>
    <xf numFmtId="3" fontId="15" fillId="2" borderId="16" xfId="0" applyNumberFormat="1" applyFont="1" applyFill="1" applyBorder="1" applyAlignment="1">
      <alignment horizontal="right" vertical="center"/>
    </xf>
    <xf numFmtId="3" fontId="15" fillId="2" borderId="31" xfId="0" applyNumberFormat="1" applyFont="1" applyFill="1" applyBorder="1" applyAlignment="1">
      <alignment horizontal="right" vertical="center"/>
    </xf>
    <xf numFmtId="3" fontId="15" fillId="2" borderId="17" xfId="0" applyNumberFormat="1" applyFont="1" applyFill="1" applyBorder="1" applyAlignment="1">
      <alignment horizontal="right" vertical="center"/>
    </xf>
    <xf numFmtId="3" fontId="15" fillId="2" borderId="14" xfId="0" applyNumberFormat="1" applyFont="1" applyFill="1" applyBorder="1" applyAlignment="1">
      <alignment horizontal="right" vertical="center"/>
    </xf>
    <xf numFmtId="3" fontId="15" fillId="2" borderId="18" xfId="0" applyNumberFormat="1" applyFont="1" applyFill="1" applyBorder="1" applyAlignment="1">
      <alignment horizontal="right" vertical="center"/>
    </xf>
    <xf numFmtId="3" fontId="15" fillId="2" borderId="46" xfId="0" applyNumberFormat="1" applyFont="1" applyFill="1" applyBorder="1" applyAlignment="1">
      <alignment horizontal="right" vertical="center"/>
    </xf>
    <xf numFmtId="3" fontId="14" fillId="2" borderId="10" xfId="0" applyNumberFormat="1" applyFont="1" applyFill="1" applyBorder="1" applyAlignment="1">
      <alignment horizontal="right" vertical="center"/>
    </xf>
    <xf numFmtId="3" fontId="14" fillId="2" borderId="44" xfId="0" applyNumberFormat="1" applyFont="1" applyFill="1" applyBorder="1" applyAlignment="1">
      <alignment horizontal="right" vertical="center"/>
    </xf>
    <xf numFmtId="3" fontId="14" fillId="2" borderId="8" xfId="0" applyNumberFormat="1" applyFont="1" applyFill="1" applyBorder="1" applyAlignment="1">
      <alignment horizontal="right" vertical="center"/>
    </xf>
    <xf numFmtId="0" fontId="19" fillId="2" borderId="0" xfId="0" applyFont="1" applyFill="1" applyAlignment="1">
      <alignment horizontal="center"/>
    </xf>
    <xf numFmtId="3" fontId="14" fillId="2" borderId="13" xfId="0" applyNumberFormat="1" applyFont="1" applyFill="1" applyBorder="1" applyAlignment="1">
      <alignment horizontal="right" vertical="center"/>
    </xf>
    <xf numFmtId="0" fontId="19" fillId="2" borderId="0" xfId="0" applyFont="1" applyFill="1" applyAlignment="1">
      <alignment horizontal="right"/>
    </xf>
    <xf numFmtId="3" fontId="14" fillId="2" borderId="14" xfId="0" applyNumberFormat="1" applyFont="1" applyFill="1" applyBorder="1" applyAlignment="1">
      <alignment horizontal="right" vertical="center"/>
    </xf>
    <xf numFmtId="0" fontId="14" fillId="2" borderId="0" xfId="0" applyFont="1" applyFill="1" applyAlignment="1">
      <alignment horizontal="right" vertical="center"/>
    </xf>
    <xf numFmtId="0" fontId="15" fillId="2" borderId="6" xfId="0" applyFont="1" applyFill="1" applyBorder="1" applyAlignment="1">
      <alignment horizontal="right" vertical="center"/>
    </xf>
    <xf numFmtId="0" fontId="18" fillId="2" borderId="0" xfId="0" applyFont="1" applyFill="1" applyAlignment="1">
      <alignment horizontal="right" vertical="center" wrapText="1"/>
    </xf>
    <xf numFmtId="0" fontId="19" fillId="2" borderId="0" xfId="0" applyFont="1" applyFill="1" applyAlignment="1">
      <alignment horizontal="right" vertical="center" wrapText="1"/>
    </xf>
    <xf numFmtId="3" fontId="20" fillId="2" borderId="6" xfId="0" applyNumberFormat="1" applyFont="1" applyFill="1" applyBorder="1" applyAlignment="1">
      <alignment horizontal="right" vertical="center"/>
    </xf>
    <xf numFmtId="3" fontId="15" fillId="2" borderId="12" xfId="0" applyNumberFormat="1" applyFont="1" applyFill="1" applyBorder="1" applyAlignment="1">
      <alignment horizontal="right" vertical="center"/>
    </xf>
    <xf numFmtId="3" fontId="15" fillId="2" borderId="26" xfId="0" applyNumberFormat="1" applyFont="1" applyFill="1" applyBorder="1" applyAlignment="1">
      <alignment horizontal="right" vertical="center"/>
    </xf>
    <xf numFmtId="3" fontId="15" fillId="2" borderId="24" xfId="0" applyNumberFormat="1" applyFont="1" applyFill="1" applyBorder="1" applyAlignment="1">
      <alignment horizontal="right" vertical="center"/>
    </xf>
    <xf numFmtId="3" fontId="15" fillId="2" borderId="13" xfId="0" applyNumberFormat="1" applyFont="1" applyFill="1" applyBorder="1" applyAlignment="1">
      <alignment horizontal="center" vertical="center"/>
    </xf>
    <xf numFmtId="3" fontId="15" fillId="2" borderId="6" xfId="0" applyNumberFormat="1" applyFont="1" applyFill="1" applyBorder="1" applyAlignment="1">
      <alignment horizontal="center" vertical="center"/>
    </xf>
    <xf numFmtId="9" fontId="15" fillId="2" borderId="6" xfId="1" applyFont="1" applyFill="1" applyBorder="1" applyAlignment="1">
      <alignment horizontal="right" vertical="center"/>
    </xf>
    <xf numFmtId="1" fontId="14" fillId="2" borderId="30" xfId="0" applyNumberFormat="1" applyFont="1" applyFill="1" applyBorder="1" applyAlignment="1">
      <alignment horizontal="right" vertical="center" wrapText="1"/>
    </xf>
    <xf numFmtId="0" fontId="15" fillId="2" borderId="13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5" xfId="0" applyFont="1" applyBorder="1" applyAlignment="1">
      <alignment vertical="center"/>
    </xf>
    <xf numFmtId="3" fontId="6" fillId="2" borderId="4" xfId="0" applyNumberFormat="1" applyFont="1" applyFill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10" fontId="6" fillId="0" borderId="13" xfId="1" applyNumberFormat="1" applyFont="1" applyBorder="1" applyAlignment="1">
      <alignment horizontal="right" vertical="center" wrapText="1"/>
    </xf>
    <xf numFmtId="0" fontId="21" fillId="0" borderId="0" xfId="0" applyFont="1" applyFill="1" applyBorder="1" applyAlignment="1">
      <alignment vertical="center" wrapText="1"/>
    </xf>
    <xf numFmtId="0" fontId="13" fillId="0" borderId="0" xfId="0" applyFont="1"/>
    <xf numFmtId="0" fontId="21" fillId="0" borderId="0" xfId="0" applyFont="1"/>
    <xf numFmtId="3" fontId="6" fillId="0" borderId="6" xfId="0" applyNumberFormat="1" applyFont="1" applyFill="1" applyBorder="1" applyAlignment="1">
      <alignment horizontal="right" vertical="center" wrapText="1" indent="1"/>
    </xf>
    <xf numFmtId="3" fontId="6" fillId="0" borderId="16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14" fontId="6" fillId="0" borderId="13" xfId="0" applyNumberFormat="1" applyFont="1" applyBorder="1" applyAlignment="1">
      <alignment horizontal="right" vertical="center"/>
    </xf>
    <xf numFmtId="10" fontId="6" fillId="0" borderId="13" xfId="1" applyNumberFormat="1" applyFont="1" applyBorder="1" applyAlignment="1">
      <alignment horizontal="right" vertical="center"/>
    </xf>
    <xf numFmtId="0" fontId="15" fillId="0" borderId="0" xfId="0" applyFont="1" applyFill="1" applyAlignment="1">
      <alignment horizontal="right" vertical="center"/>
    </xf>
    <xf numFmtId="3" fontId="6" fillId="0" borderId="8" xfId="0" applyNumberFormat="1" applyFont="1" applyFill="1" applyBorder="1" applyAlignment="1">
      <alignment horizontal="right" vertical="center"/>
    </xf>
    <xf numFmtId="3" fontId="15" fillId="4" borderId="8" xfId="0" applyNumberFormat="1" applyFont="1" applyFill="1" applyBorder="1" applyAlignment="1">
      <alignment horizontal="right" vertical="center"/>
    </xf>
    <xf numFmtId="3" fontId="6" fillId="0" borderId="6" xfId="0" applyNumberFormat="1" applyFont="1" applyFill="1" applyBorder="1" applyAlignment="1">
      <alignment horizontal="right" vertical="center" wrapText="1"/>
    </xf>
    <xf numFmtId="3" fontId="6" fillId="0" borderId="13" xfId="0" applyNumberFormat="1" applyFont="1" applyFill="1" applyBorder="1" applyAlignment="1">
      <alignment horizontal="right" vertical="center"/>
    </xf>
    <xf numFmtId="0" fontId="21" fillId="0" borderId="0" xfId="0" applyFont="1" applyFill="1" applyBorder="1" applyAlignment="1">
      <alignment vertical="center"/>
    </xf>
    <xf numFmtId="0" fontId="22" fillId="0" borderId="0" xfId="0" applyFont="1"/>
    <xf numFmtId="0" fontId="9" fillId="0" borderId="0" xfId="0" applyFont="1" applyAlignment="1">
      <alignment horizontal="justify" vertical="center"/>
    </xf>
    <xf numFmtId="0" fontId="6" fillId="0" borderId="5" xfId="0" applyFont="1" applyBorder="1" applyAlignment="1">
      <alignment vertical="center"/>
    </xf>
    <xf numFmtId="4" fontId="6" fillId="0" borderId="14" xfId="0" applyNumberFormat="1" applyFont="1" applyFill="1" applyBorder="1" applyAlignment="1">
      <alignment horizontal="right" vertical="center" wrapText="1"/>
    </xf>
    <xf numFmtId="3" fontId="15" fillId="0" borderId="13" xfId="0" applyNumberFormat="1" applyFont="1" applyFill="1" applyBorder="1" applyAlignment="1">
      <alignment horizontal="right" vertical="center" wrapText="1"/>
    </xf>
    <xf numFmtId="1" fontId="14" fillId="2" borderId="8" xfId="0" applyNumberFormat="1" applyFont="1" applyFill="1" applyBorder="1" applyAlignment="1">
      <alignment horizontal="right" vertical="center"/>
    </xf>
    <xf numFmtId="0" fontId="5" fillId="0" borderId="54" xfId="0" applyFont="1" applyBorder="1" applyAlignment="1">
      <alignment vertical="center"/>
    </xf>
    <xf numFmtId="0" fontId="5" fillId="0" borderId="55" xfId="0" applyFont="1" applyBorder="1" applyAlignment="1">
      <alignment horizontal="center" vertical="center"/>
    </xf>
    <xf numFmtId="0" fontId="5" fillId="0" borderId="55" xfId="0" applyFont="1" applyBorder="1" applyAlignment="1">
      <alignment horizontal="right" vertical="center"/>
    </xf>
    <xf numFmtId="0" fontId="14" fillId="2" borderId="55" xfId="0" applyFont="1" applyFill="1" applyBorder="1" applyAlignment="1">
      <alignment horizontal="right" vertical="center"/>
    </xf>
    <xf numFmtId="0" fontId="14" fillId="2" borderId="56" xfId="0" applyFont="1" applyFill="1" applyBorder="1" applyAlignment="1">
      <alignment horizontal="right" vertical="center"/>
    </xf>
    <xf numFmtId="0" fontId="5" fillId="0" borderId="37" xfId="0" applyFont="1" applyBorder="1" applyAlignment="1">
      <alignment horizontal="center" vertical="center"/>
    </xf>
    <xf numFmtId="0" fontId="5" fillId="0" borderId="37" xfId="0" applyFont="1" applyBorder="1" applyAlignment="1">
      <alignment horizontal="right" vertical="center"/>
    </xf>
    <xf numFmtId="0" fontId="6" fillId="0" borderId="37" xfId="0" applyFont="1" applyBorder="1" applyAlignment="1">
      <alignment vertical="center"/>
    </xf>
    <xf numFmtId="0" fontId="15" fillId="2" borderId="37" xfId="0" applyFont="1" applyFill="1" applyBorder="1" applyAlignment="1">
      <alignment horizontal="right" vertical="center"/>
    </xf>
    <xf numFmtId="3" fontId="14" fillId="0" borderId="6" xfId="0" applyNumberFormat="1" applyFont="1" applyFill="1" applyBorder="1" applyAlignment="1">
      <alignment horizontal="right" vertical="center"/>
    </xf>
    <xf numFmtId="3" fontId="14" fillId="0" borderId="8" xfId="0" applyNumberFormat="1" applyFont="1" applyFill="1" applyBorder="1" applyAlignment="1">
      <alignment horizontal="right" vertical="center"/>
    </xf>
    <xf numFmtId="0" fontId="5" fillId="0" borderId="56" xfId="0" applyFont="1" applyBorder="1" applyAlignment="1">
      <alignment horizontal="right" vertical="center"/>
    </xf>
    <xf numFmtId="9" fontId="6" fillId="0" borderId="37" xfId="1" applyFont="1" applyBorder="1" applyAlignment="1">
      <alignment horizontal="right" vertical="center"/>
    </xf>
    <xf numFmtId="14" fontId="6" fillId="0" borderId="37" xfId="0" applyNumberFormat="1" applyFont="1" applyBorder="1" applyAlignment="1">
      <alignment horizontal="right" vertical="center"/>
    </xf>
    <xf numFmtId="0" fontId="6" fillId="0" borderId="37" xfId="0" applyFont="1" applyBorder="1" applyAlignment="1">
      <alignment horizontal="center" vertical="center"/>
    </xf>
    <xf numFmtId="10" fontId="6" fillId="0" borderId="37" xfId="1" applyNumberFormat="1" applyFont="1" applyBorder="1" applyAlignment="1">
      <alignment horizontal="right" vertical="center"/>
    </xf>
    <xf numFmtId="3" fontId="23" fillId="2" borderId="6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5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</cellXfs>
  <cellStyles count="3">
    <cellStyle name="Normálna" xfId="0" builtinId="0"/>
    <cellStyle name="Normálna 2" xfId="2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showGridLines="0" topLeftCell="C1" workbookViewId="0">
      <selection activeCell="H9" sqref="H9"/>
    </sheetView>
  </sheetViews>
  <sheetFormatPr defaultRowHeight="15" x14ac:dyDescent="0.25"/>
  <cols>
    <col min="1" max="1" width="22" customWidth="1"/>
    <col min="2" max="2" width="21.5703125" customWidth="1"/>
  </cols>
  <sheetData>
    <row r="1" spans="1:2" x14ac:dyDescent="0.25">
      <c r="A1" t="s">
        <v>405</v>
      </c>
    </row>
    <row r="2" spans="1:2" x14ac:dyDescent="0.25">
      <c r="A2" t="s">
        <v>406</v>
      </c>
    </row>
    <row r="3" spans="1:2" x14ac:dyDescent="0.25">
      <c r="A3" t="s">
        <v>407</v>
      </c>
    </row>
    <row r="4" spans="1:2" x14ac:dyDescent="0.25">
      <c r="A4" t="s">
        <v>408</v>
      </c>
    </row>
    <row r="5" spans="1:2" x14ac:dyDescent="0.25">
      <c r="A5" t="s">
        <v>409</v>
      </c>
    </row>
    <row r="6" spans="1:2" x14ac:dyDescent="0.25">
      <c r="A6" t="s">
        <v>410</v>
      </c>
    </row>
    <row r="7" spans="1:2" x14ac:dyDescent="0.25">
      <c r="A7" t="s">
        <v>411</v>
      </c>
    </row>
    <row r="8" spans="1:2" x14ac:dyDescent="0.25">
      <c r="A8" t="s">
        <v>412</v>
      </c>
    </row>
    <row r="9" spans="1:2" x14ac:dyDescent="0.25">
      <c r="A9" t="s">
        <v>413</v>
      </c>
    </row>
    <row r="10" spans="1:2" x14ac:dyDescent="0.25">
      <c r="A10" t="s">
        <v>414</v>
      </c>
    </row>
    <row r="11" spans="1:2" x14ac:dyDescent="0.25">
      <c r="A11" s="9" t="s">
        <v>388</v>
      </c>
      <c r="B11" s="9" t="s">
        <v>415</v>
      </c>
    </row>
    <row r="12" spans="1:2" x14ac:dyDescent="0.25">
      <c r="A12" s="7">
        <v>1</v>
      </c>
      <c r="B12" s="8" t="s">
        <v>416</v>
      </c>
    </row>
    <row r="13" spans="1:2" x14ac:dyDescent="0.25">
      <c r="A13" s="7">
        <v>2</v>
      </c>
      <c r="B13" s="8" t="s">
        <v>417</v>
      </c>
    </row>
    <row r="14" spans="1:2" x14ac:dyDescent="0.25">
      <c r="A14" s="7">
        <v>3</v>
      </c>
      <c r="B14" s="8" t="s">
        <v>418</v>
      </c>
    </row>
    <row r="15" spans="1:2" x14ac:dyDescent="0.25">
      <c r="A15" s="7">
        <v>4</v>
      </c>
      <c r="B15" s="8" t="s">
        <v>419</v>
      </c>
    </row>
    <row r="16" spans="1:2" x14ac:dyDescent="0.25">
      <c r="A16" s="7">
        <v>5</v>
      </c>
      <c r="B16" s="8" t="s">
        <v>420</v>
      </c>
    </row>
    <row r="17" spans="1:2" x14ac:dyDescent="0.25">
      <c r="A17" s="7">
        <v>6</v>
      </c>
      <c r="B17" s="8" t="s">
        <v>421</v>
      </c>
    </row>
    <row r="18" spans="1:2" x14ac:dyDescent="0.25">
      <c r="A18" s="7">
        <v>7</v>
      </c>
      <c r="B18" s="8" t="s">
        <v>422</v>
      </c>
    </row>
    <row r="19" spans="1:2" x14ac:dyDescent="0.25">
      <c r="A19" s="7">
        <v>8</v>
      </c>
      <c r="B19" s="8" t="s">
        <v>423</v>
      </c>
    </row>
    <row r="20" spans="1:2" x14ac:dyDescent="0.25">
      <c r="A20" s="7">
        <v>9</v>
      </c>
      <c r="B20" s="8" t="s">
        <v>424</v>
      </c>
    </row>
    <row r="21" spans="1:2" x14ac:dyDescent="0.25">
      <c r="A21" s="7">
        <v>10</v>
      </c>
      <c r="B21" s="8" t="s">
        <v>425</v>
      </c>
    </row>
    <row r="22" spans="1:2" x14ac:dyDescent="0.25">
      <c r="A22" s="7">
        <v>11</v>
      </c>
      <c r="B22" s="8" t="s">
        <v>426</v>
      </c>
    </row>
    <row r="24" spans="1:2" x14ac:dyDescent="0.25">
      <c r="A24" t="s">
        <v>427</v>
      </c>
    </row>
    <row r="25" spans="1:2" x14ac:dyDescent="0.25">
      <c r="A25" t="s">
        <v>428</v>
      </c>
    </row>
    <row r="26" spans="1:2" x14ac:dyDescent="0.25">
      <c r="A26" t="s">
        <v>429</v>
      </c>
    </row>
    <row r="27" spans="1:2" x14ac:dyDescent="0.25">
      <c r="A27" t="s">
        <v>430</v>
      </c>
    </row>
    <row r="28" spans="1:2" x14ac:dyDescent="0.25">
      <c r="A28" t="s">
        <v>431</v>
      </c>
    </row>
    <row r="29" spans="1:2" x14ac:dyDescent="0.25">
      <c r="A29" t="s">
        <v>432</v>
      </c>
    </row>
    <row r="30" spans="1:2" x14ac:dyDescent="0.25">
      <c r="A30" t="s">
        <v>433</v>
      </c>
    </row>
    <row r="31" spans="1:2" x14ac:dyDescent="0.25">
      <c r="A31" t="s">
        <v>434</v>
      </c>
    </row>
    <row r="32" spans="1:2" x14ac:dyDescent="0.25">
      <c r="A32" t="s">
        <v>435</v>
      </c>
    </row>
    <row r="33" spans="1:1" x14ac:dyDescent="0.25">
      <c r="A33" t="s">
        <v>436</v>
      </c>
    </row>
    <row r="34" spans="1:1" x14ac:dyDescent="0.25">
      <c r="A34" t="s">
        <v>437</v>
      </c>
    </row>
    <row r="35" spans="1:1" x14ac:dyDescent="0.25">
      <c r="A35" t="s">
        <v>438</v>
      </c>
    </row>
    <row r="36" spans="1:1" x14ac:dyDescent="0.25">
      <c r="A36" t="s">
        <v>439</v>
      </c>
    </row>
    <row r="37" spans="1:1" x14ac:dyDescent="0.25">
      <c r="A37" t="s">
        <v>440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6"/>
  <sheetViews>
    <sheetView showGridLines="0" zoomScaleNormal="100" workbookViewId="0">
      <selection activeCell="A6" sqref="A6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56</v>
      </c>
    </row>
    <row r="2" spans="1:2" ht="21" customHeight="1" thickTop="1" thickBot="1" x14ac:dyDescent="0.3">
      <c r="A2" s="10" t="s">
        <v>55</v>
      </c>
      <c r="B2" s="11" t="s">
        <v>36</v>
      </c>
    </row>
    <row r="3" spans="1:2" ht="23.25" customHeight="1" thickTop="1" thickBot="1" x14ac:dyDescent="0.3">
      <c r="A3" s="12" t="s">
        <v>57</v>
      </c>
      <c r="B3" s="13" t="s">
        <v>18</v>
      </c>
    </row>
    <row r="4" spans="1:2" ht="23.25" customHeight="1" thickBot="1" x14ac:dyDescent="0.3">
      <c r="A4" s="16" t="s">
        <v>58</v>
      </c>
      <c r="B4" s="17" t="s">
        <v>18</v>
      </c>
    </row>
    <row r="5" spans="1:2" ht="15.75" thickTop="1" x14ac:dyDescent="0.25"/>
    <row r="6" spans="1:2" x14ac:dyDescent="0.25">
      <c r="A6" s="322" t="s">
        <v>1481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1"/>
  <sheetViews>
    <sheetView showGridLines="0" zoomScaleNormal="100" workbookViewId="0">
      <selection activeCell="A21" sqref="A21"/>
    </sheetView>
  </sheetViews>
  <sheetFormatPr defaultRowHeight="15" x14ac:dyDescent="0.2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 x14ac:dyDescent="0.35">
      <c r="A1" s="2" t="s">
        <v>59</v>
      </c>
    </row>
    <row r="2" spans="1:6" ht="16.5" customHeight="1" thickTop="1" thickBot="1" x14ac:dyDescent="0.3">
      <c r="A2" s="359" t="s">
        <v>60</v>
      </c>
      <c r="B2" s="375" t="s">
        <v>2</v>
      </c>
      <c r="C2" s="376"/>
      <c r="D2" s="376"/>
      <c r="E2" s="376"/>
      <c r="F2" s="377"/>
    </row>
    <row r="3" spans="1:6" ht="70.5" customHeight="1" thickBot="1" x14ac:dyDescent="0.3">
      <c r="A3" s="360"/>
      <c r="B3" s="55" t="s">
        <v>61</v>
      </c>
      <c r="C3" s="55" t="s">
        <v>62</v>
      </c>
      <c r="D3" s="39" t="s">
        <v>448</v>
      </c>
      <c r="E3" s="55" t="s">
        <v>449</v>
      </c>
      <c r="F3" s="55" t="s">
        <v>64</v>
      </c>
    </row>
    <row r="4" spans="1:6" ht="16.5" thickTop="1" thickBot="1" x14ac:dyDescent="0.3">
      <c r="A4" s="125" t="s">
        <v>65</v>
      </c>
      <c r="B4" s="51"/>
      <c r="C4" s="51"/>
      <c r="D4" s="51"/>
      <c r="E4" s="51"/>
      <c r="F4" s="52"/>
    </row>
    <row r="5" spans="1:6" ht="16.5" thickTop="1" thickBot="1" x14ac:dyDescent="0.3">
      <c r="A5" s="126"/>
      <c r="B5" s="53"/>
      <c r="C5" s="53"/>
      <c r="D5" s="22"/>
      <c r="E5" s="22"/>
      <c r="F5" s="15"/>
    </row>
    <row r="6" spans="1:6" ht="15.75" thickBot="1" x14ac:dyDescent="0.3">
      <c r="A6" s="126"/>
      <c r="B6" s="53"/>
      <c r="C6" s="53"/>
      <c r="D6" s="22"/>
      <c r="E6" s="22"/>
      <c r="F6" s="15"/>
    </row>
    <row r="7" spans="1:6" ht="15.75" thickBot="1" x14ac:dyDescent="0.3">
      <c r="A7" s="127"/>
      <c r="B7" s="54"/>
      <c r="C7" s="54"/>
      <c r="D7" s="25"/>
      <c r="E7" s="25"/>
      <c r="F7" s="220">
        <f>SUMIF(HK!A:A,"061*",HK!K:K)-SUMIF(HK!A:A,"061*",HK!L:L)</f>
        <v>0</v>
      </c>
    </row>
    <row r="8" spans="1:6" ht="16.5" thickTop="1" thickBot="1" x14ac:dyDescent="0.3">
      <c r="A8" s="125" t="s">
        <v>66</v>
      </c>
      <c r="B8" s="51"/>
      <c r="C8" s="51"/>
      <c r="D8" s="51"/>
      <c r="E8" s="51"/>
      <c r="F8" s="244"/>
    </row>
    <row r="9" spans="1:6" ht="16.5" thickTop="1" thickBot="1" x14ac:dyDescent="0.3">
      <c r="A9" s="126"/>
      <c r="B9" s="53"/>
      <c r="C9" s="53"/>
      <c r="D9" s="22"/>
      <c r="E9" s="22"/>
      <c r="F9" s="238"/>
    </row>
    <row r="10" spans="1:6" ht="15.75" thickBot="1" x14ac:dyDescent="0.3">
      <c r="A10" s="126"/>
      <c r="B10" s="53"/>
      <c r="C10" s="53"/>
      <c r="D10" s="22"/>
      <c r="E10" s="22"/>
      <c r="F10" s="238"/>
    </row>
    <row r="11" spans="1:6" ht="15.75" thickBot="1" x14ac:dyDescent="0.3">
      <c r="A11" s="127"/>
      <c r="B11" s="54"/>
      <c r="C11" s="54"/>
      <c r="D11" s="25"/>
      <c r="E11" s="25"/>
      <c r="F11" s="220">
        <f>SUMIF(HK!A:A,"062*",HK!K:K)-SUMIF(HK!A:A,"062*",HK!L:L)</f>
        <v>0</v>
      </c>
    </row>
    <row r="12" spans="1:6" ht="16.5" thickTop="1" thickBot="1" x14ac:dyDescent="0.3">
      <c r="A12" s="125" t="s">
        <v>67</v>
      </c>
      <c r="B12" s="51"/>
      <c r="C12" s="51"/>
      <c r="D12" s="51"/>
      <c r="E12" s="51"/>
      <c r="F12" s="244"/>
    </row>
    <row r="13" spans="1:6" ht="16.5" thickTop="1" thickBot="1" x14ac:dyDescent="0.3">
      <c r="A13" s="126"/>
      <c r="B13" s="53"/>
      <c r="C13" s="53"/>
      <c r="D13" s="22"/>
      <c r="E13" s="22"/>
      <c r="F13" s="238"/>
    </row>
    <row r="14" spans="1:6" ht="15.75" thickBot="1" x14ac:dyDescent="0.3">
      <c r="A14" s="126"/>
      <c r="B14" s="53"/>
      <c r="C14" s="53"/>
      <c r="D14" s="22"/>
      <c r="E14" s="22"/>
      <c r="F14" s="238"/>
    </row>
    <row r="15" spans="1:6" ht="15.75" thickBot="1" x14ac:dyDescent="0.3">
      <c r="A15" s="127"/>
      <c r="B15" s="54"/>
      <c r="C15" s="54"/>
      <c r="D15" s="25"/>
      <c r="E15" s="25"/>
      <c r="F15" s="220">
        <f>SUMIF(HK!A:A,"063*",HK!K:K)-SUMIF(HK!A:A,"063*",HK!L:L)</f>
        <v>0</v>
      </c>
    </row>
    <row r="16" spans="1:6" ht="16.5" thickTop="1" thickBot="1" x14ac:dyDescent="0.3">
      <c r="A16" s="125" t="s">
        <v>68</v>
      </c>
      <c r="B16" s="51"/>
      <c r="C16" s="51"/>
      <c r="D16" s="51"/>
      <c r="E16" s="51"/>
      <c r="F16" s="244"/>
    </row>
    <row r="17" spans="1:6" ht="16.5" thickTop="1" thickBot="1" x14ac:dyDescent="0.3">
      <c r="A17" s="128"/>
      <c r="B17" s="53"/>
      <c r="C17" s="53"/>
      <c r="D17" s="22"/>
      <c r="E17" s="22"/>
      <c r="F17" s="238"/>
    </row>
    <row r="18" spans="1:6" ht="15.75" thickBot="1" x14ac:dyDescent="0.3">
      <c r="A18" s="81"/>
      <c r="B18" s="54"/>
      <c r="C18" s="54"/>
      <c r="D18" s="150"/>
      <c r="E18" s="45"/>
      <c r="F18" s="220">
        <f>SUMIF(HK!A:A,"043*",HK!K:K)-SUMIF(HK!A:A,"043*",HK!L:L)</f>
        <v>0</v>
      </c>
    </row>
    <row r="19" spans="1:6" ht="24" thickTop="1" thickBot="1" x14ac:dyDescent="0.3">
      <c r="A19" s="24" t="s">
        <v>69</v>
      </c>
      <c r="B19" s="33" t="s">
        <v>18</v>
      </c>
      <c r="C19" s="33" t="s">
        <v>18</v>
      </c>
      <c r="D19" s="33" t="s">
        <v>18</v>
      </c>
      <c r="E19" s="33" t="s">
        <v>18</v>
      </c>
      <c r="F19" s="17">
        <f>SUM(F17:F18)+SUM(F13:F15)+SUM(F9:F11)+SUM(F5:F7)</f>
        <v>0</v>
      </c>
    </row>
    <row r="20" spans="1:6" ht="15.75" thickTop="1" x14ac:dyDescent="0.25"/>
    <row r="21" spans="1:6" x14ac:dyDescent="0.25">
      <c r="A21" s="322" t="s">
        <v>1481</v>
      </c>
    </row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9"/>
  <sheetViews>
    <sheetView showGridLines="0" zoomScaleNormal="100" workbookViewId="0">
      <selection activeCell="A9" sqref="A9"/>
    </sheetView>
  </sheetViews>
  <sheetFormatPr defaultRowHeight="15" x14ac:dyDescent="0.25"/>
  <cols>
    <col min="1" max="1" width="17.140625" customWidth="1"/>
    <col min="2" max="2" width="12.42578125" customWidth="1"/>
    <col min="3" max="7" width="11.42578125" customWidth="1"/>
  </cols>
  <sheetData>
    <row r="1" spans="1:10" ht="17.25" thickBot="1" x14ac:dyDescent="0.35">
      <c r="A1" s="1" t="s">
        <v>70</v>
      </c>
    </row>
    <row r="2" spans="1:10" ht="74.25" customHeight="1" thickTop="1" thickBot="1" x14ac:dyDescent="0.3">
      <c r="A2" s="57" t="s">
        <v>452</v>
      </c>
      <c r="B2" s="57" t="s">
        <v>71</v>
      </c>
      <c r="C2" s="37" t="s">
        <v>450</v>
      </c>
      <c r="D2" s="57" t="s">
        <v>72</v>
      </c>
      <c r="E2" s="57" t="s">
        <v>73</v>
      </c>
      <c r="F2" s="37" t="s">
        <v>451</v>
      </c>
      <c r="G2" s="57" t="s">
        <v>79</v>
      </c>
    </row>
    <row r="3" spans="1:10" ht="27" customHeight="1" thickTop="1" thickBot="1" x14ac:dyDescent="0.3">
      <c r="A3" s="14" t="s">
        <v>74</v>
      </c>
      <c r="B3" s="176"/>
      <c r="C3" s="44"/>
      <c r="D3" s="44"/>
      <c r="E3" s="44"/>
      <c r="F3" s="44"/>
      <c r="G3" s="13">
        <f>SUM(C3:F3)</f>
        <v>0</v>
      </c>
    </row>
    <row r="4" spans="1:10" ht="34.5" thickBot="1" x14ac:dyDescent="0.3">
      <c r="A4" s="14" t="s">
        <v>75</v>
      </c>
      <c r="B4" s="177"/>
      <c r="C4" s="22"/>
      <c r="D4" s="22"/>
      <c r="E4" s="22"/>
      <c r="F4" s="22"/>
      <c r="G4" s="15">
        <f>SUM(C4:F4)</f>
        <v>0</v>
      </c>
    </row>
    <row r="5" spans="1:10" ht="34.5" thickBot="1" x14ac:dyDescent="0.3">
      <c r="A5" s="14" t="s">
        <v>76</v>
      </c>
      <c r="B5" s="177"/>
      <c r="C5" s="22"/>
      <c r="D5" s="22"/>
      <c r="E5" s="22"/>
      <c r="F5" s="22"/>
      <c r="G5" s="15">
        <f>SUM(C5:F5)</f>
        <v>0</v>
      </c>
    </row>
    <row r="6" spans="1:10" ht="27" customHeight="1" thickBot="1" x14ac:dyDescent="0.3">
      <c r="A6" s="14" t="s">
        <v>77</v>
      </c>
      <c r="B6" s="177"/>
      <c r="C6" s="22"/>
      <c r="D6" s="22"/>
      <c r="E6" s="22"/>
      <c r="F6" s="22"/>
      <c r="G6" s="15">
        <f>SUM(C6:F6)</f>
        <v>0</v>
      </c>
    </row>
    <row r="7" spans="1:10" ht="27" customHeight="1" thickBot="1" x14ac:dyDescent="0.3">
      <c r="A7" s="24" t="s">
        <v>78</v>
      </c>
      <c r="B7" s="178" t="s">
        <v>18</v>
      </c>
      <c r="C7" s="56"/>
      <c r="D7" s="56"/>
      <c r="E7" s="56"/>
      <c r="F7" s="56"/>
      <c r="G7" s="246">
        <f>SUMIF(HK!A:A,"065*",HK!K:K)-SUMIF(HK!A:A,"065*",HK!L:L)</f>
        <v>0</v>
      </c>
      <c r="J7" s="245"/>
    </row>
    <row r="8" spans="1:10" ht="15.75" thickTop="1" x14ac:dyDescent="0.25"/>
    <row r="9" spans="1:10" x14ac:dyDescent="0.25">
      <c r="A9" s="321" t="s">
        <v>1482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9"/>
  <sheetViews>
    <sheetView showGridLines="0" zoomScaleNormal="100" workbookViewId="0">
      <selection activeCell="A9" sqref="A9"/>
    </sheetView>
  </sheetViews>
  <sheetFormatPr defaultRowHeight="15" x14ac:dyDescent="0.25"/>
  <cols>
    <col min="1" max="1" width="20.42578125" customWidth="1"/>
    <col min="2" max="6" width="13.28515625" customWidth="1"/>
    <col min="7" max="7" width="17.5703125" customWidth="1"/>
  </cols>
  <sheetData>
    <row r="1" spans="1:6" ht="17.25" thickBot="1" x14ac:dyDescent="0.35">
      <c r="A1" s="1" t="s">
        <v>80</v>
      </c>
    </row>
    <row r="2" spans="1:6" ht="58.5" customHeight="1" thickTop="1" thickBot="1" x14ac:dyDescent="0.3">
      <c r="A2" s="57" t="s">
        <v>81</v>
      </c>
      <c r="B2" s="37" t="s">
        <v>450</v>
      </c>
      <c r="C2" s="57" t="s">
        <v>72</v>
      </c>
      <c r="D2" s="57" t="s">
        <v>73</v>
      </c>
      <c r="E2" s="57" t="s">
        <v>453</v>
      </c>
      <c r="F2" s="37" t="s">
        <v>30</v>
      </c>
    </row>
    <row r="3" spans="1:6" ht="27" customHeight="1" thickTop="1" thickBot="1" x14ac:dyDescent="0.3">
      <c r="A3" s="14" t="s">
        <v>74</v>
      </c>
      <c r="B3" s="22"/>
      <c r="C3" s="22"/>
      <c r="D3" s="22"/>
      <c r="E3" s="22"/>
      <c r="F3" s="15">
        <f>SUM(B3:E3)</f>
        <v>0</v>
      </c>
    </row>
    <row r="4" spans="1:6" ht="27" customHeight="1" thickBot="1" x14ac:dyDescent="0.3">
      <c r="A4" s="14" t="s">
        <v>82</v>
      </c>
      <c r="B4" s="22"/>
      <c r="C4" s="22"/>
      <c r="D4" s="22"/>
      <c r="E4" s="22"/>
      <c r="F4" s="15">
        <f>SUM(B4:E4)</f>
        <v>0</v>
      </c>
    </row>
    <row r="5" spans="1:6" ht="27" customHeight="1" thickBot="1" x14ac:dyDescent="0.3">
      <c r="A5" s="14" t="s">
        <v>83</v>
      </c>
      <c r="B5" s="22"/>
      <c r="C5" s="22"/>
      <c r="D5" s="22"/>
      <c r="E5" s="22"/>
      <c r="F5" s="15">
        <f>SUM(B5:E5)</f>
        <v>0</v>
      </c>
    </row>
    <row r="6" spans="1:6" ht="27" customHeight="1" thickBot="1" x14ac:dyDescent="0.3">
      <c r="A6" s="14" t="s">
        <v>77</v>
      </c>
      <c r="B6" s="22"/>
      <c r="C6" s="22"/>
      <c r="D6" s="22"/>
      <c r="E6" s="22"/>
      <c r="F6" s="15">
        <f>SUM(B6:E6)</f>
        <v>0</v>
      </c>
    </row>
    <row r="7" spans="1:6" ht="27" customHeight="1" thickBot="1" x14ac:dyDescent="0.3">
      <c r="A7" s="24" t="s">
        <v>84</v>
      </c>
      <c r="B7" s="56">
        <f>SUM(B3:B6)</f>
        <v>0</v>
      </c>
      <c r="C7" s="56">
        <f>SUM(C3:C6)</f>
        <v>0</v>
      </c>
      <c r="D7" s="56">
        <f>SUM(D3:D6)</f>
        <v>0</v>
      </c>
      <c r="E7" s="56">
        <f>SUM(E3:E6)</f>
        <v>0</v>
      </c>
      <c r="F7" s="58">
        <f>SUM(F3:F6)</f>
        <v>0</v>
      </c>
    </row>
    <row r="8" spans="1:6" ht="15.75" thickTop="1" x14ac:dyDescent="0.25"/>
    <row r="9" spans="1:6" x14ac:dyDescent="0.25">
      <c r="A9" s="321" t="s">
        <v>1481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4"/>
  <sheetViews>
    <sheetView showGridLines="0" zoomScaleNormal="100" workbookViewId="0">
      <selection activeCell="A14" sqref="A14"/>
    </sheetView>
  </sheetViews>
  <sheetFormatPr defaultRowHeight="15" x14ac:dyDescent="0.25"/>
  <cols>
    <col min="1" max="1" width="18.5703125" customWidth="1"/>
    <col min="2" max="6" width="13.5703125" customWidth="1"/>
    <col min="7" max="7" width="17.5703125" customWidth="1"/>
  </cols>
  <sheetData>
    <row r="1" spans="1:8" ht="16.5" x14ac:dyDescent="0.3">
      <c r="A1" s="1" t="s">
        <v>85</v>
      </c>
    </row>
    <row r="2" spans="1:8" ht="17.25" thickBot="1" x14ac:dyDescent="0.35">
      <c r="A2" s="2" t="s">
        <v>8</v>
      </c>
    </row>
    <row r="3" spans="1:8" ht="16.5" thickTop="1" thickBot="1" x14ac:dyDescent="0.3">
      <c r="A3" s="359" t="s">
        <v>86</v>
      </c>
      <c r="B3" s="361" t="s">
        <v>2</v>
      </c>
      <c r="C3" s="367"/>
      <c r="D3" s="367"/>
      <c r="E3" s="367"/>
      <c r="F3" s="362"/>
    </row>
    <row r="4" spans="1:8" ht="60" customHeight="1" thickTop="1" thickBot="1" x14ac:dyDescent="0.3">
      <c r="A4" s="360"/>
      <c r="B4" s="29" t="s">
        <v>87</v>
      </c>
      <c r="C4" s="21" t="s">
        <v>456</v>
      </c>
      <c r="D4" s="29" t="s">
        <v>459</v>
      </c>
      <c r="E4" s="21" t="s">
        <v>457</v>
      </c>
      <c r="F4" s="29" t="s">
        <v>89</v>
      </c>
    </row>
    <row r="5" spans="1:8" ht="23.25" customHeight="1" thickTop="1" thickBot="1" x14ac:dyDescent="0.3">
      <c r="A5" s="14" t="s">
        <v>90</v>
      </c>
      <c r="B5" s="220">
        <f>SUMIF(HK!A:A,"191*",HK!D:D)-SUMIF(HK!A:A,"191*",HK!C:C)</f>
        <v>0</v>
      </c>
      <c r="C5" s="247"/>
      <c r="D5" s="247"/>
      <c r="E5" s="247"/>
      <c r="F5" s="220">
        <f>SUMIF(HK!A:A,"191*",HK!L:L)-SUMIF(HK!A:A,"191*",HK!K:K)</f>
        <v>0</v>
      </c>
      <c r="H5" s="245"/>
    </row>
    <row r="6" spans="1:8" ht="34.5" thickBot="1" x14ac:dyDescent="0.3">
      <c r="A6" s="14" t="s">
        <v>98</v>
      </c>
      <c r="B6" s="220">
        <f>SUMIF(HK!A:A,"192*",HK!D:D)-SUMIF(HK!A:A,"192*",HK!C:C)+SUMIF(HK!A:A,"193*",HK!D:D)-SUMIF(HK!A:A,"193*",HK!C:C)</f>
        <v>0</v>
      </c>
      <c r="C6" s="247"/>
      <c r="D6" s="247"/>
      <c r="E6" s="247"/>
      <c r="F6" s="220">
        <f>SUMIF(HK!A:A,"192*",HK!L:L)-SUMIF(HK!A:A,"192*",HK!K:K)+SUMIF(HK!A:A,"193*",HK!L:L)-SUMIF(HK!A:A,"193*",HK!K:K)</f>
        <v>0</v>
      </c>
      <c r="H6" s="245"/>
    </row>
    <row r="7" spans="1:8" ht="23.25" customHeight="1" thickBot="1" x14ac:dyDescent="0.3">
      <c r="A7" s="14" t="s">
        <v>91</v>
      </c>
      <c r="B7" s="220">
        <f>SUMIF(HK!A:A,"194*",HK!D:D)-SUMIF(HK!A:A,"194*",HK!C:C)</f>
        <v>0</v>
      </c>
      <c r="C7" s="183"/>
      <c r="D7" s="183"/>
      <c r="E7" s="183"/>
      <c r="F7" s="220">
        <f>SUMIF(HK!A:A,"194*",HK!L:L)-SUMIF(HK!A:A,"194*",HK!K:K)</f>
        <v>0</v>
      </c>
      <c r="H7" s="245"/>
    </row>
    <row r="8" spans="1:8" ht="23.25" customHeight="1" thickBot="1" x14ac:dyDescent="0.3">
      <c r="A8" s="14" t="s">
        <v>92</v>
      </c>
      <c r="B8" s="220">
        <f>SUMIF(HK!A:A,"195*",HK!D:D)-SUMIF(HK!A:A,"195*",HK!C:C)</f>
        <v>0</v>
      </c>
      <c r="C8" s="183"/>
      <c r="D8" s="183"/>
      <c r="E8" s="183"/>
      <c r="F8" s="220">
        <f>SUMIF(HK!A:A,"195*",HK!L:L)-SUMIF(HK!A:A,"195*",HK!K:K)</f>
        <v>0</v>
      </c>
      <c r="H8" s="245"/>
    </row>
    <row r="9" spans="1:8" ht="23.25" customHeight="1" thickBot="1" x14ac:dyDescent="0.3">
      <c r="A9" s="14" t="s">
        <v>93</v>
      </c>
      <c r="B9" s="220">
        <f>SUMIF(HK!A:A,"196*",HK!D:D)-SUMIF(HK!A:A,"196*",HK!C:C)</f>
        <v>0</v>
      </c>
      <c r="C9" s="183"/>
      <c r="D9" s="183"/>
      <c r="E9" s="183"/>
      <c r="F9" s="220">
        <f>SUMIF(HK!A:A,"196*",HK!L:L)-SUMIF(HK!A:A,"196*",HK!K:K)</f>
        <v>0</v>
      </c>
      <c r="H9" s="245"/>
    </row>
    <row r="10" spans="1:8" ht="23.25" customHeight="1" thickBot="1" x14ac:dyDescent="0.3">
      <c r="A10" s="14" t="s">
        <v>94</v>
      </c>
      <c r="B10" s="160"/>
      <c r="C10" s="160"/>
      <c r="D10" s="160"/>
      <c r="E10" s="160"/>
      <c r="F10" s="15">
        <f t="shared" ref="F10:F11" si="0">SUM(B10:E10)</f>
        <v>0</v>
      </c>
    </row>
    <row r="11" spans="1:8" ht="23.25" customHeight="1" thickBot="1" x14ac:dyDescent="0.3">
      <c r="A11" s="14" t="s">
        <v>458</v>
      </c>
      <c r="B11" s="160"/>
      <c r="C11" s="160"/>
      <c r="D11" s="160"/>
      <c r="E11" s="160"/>
      <c r="F11" s="15">
        <f t="shared" si="0"/>
        <v>0</v>
      </c>
    </row>
    <row r="12" spans="1:8" ht="23.25" customHeight="1" thickBot="1" x14ac:dyDescent="0.3">
      <c r="A12" s="24" t="s">
        <v>95</v>
      </c>
      <c r="B12" s="56">
        <f>SUM(B5:B11)</f>
        <v>0</v>
      </c>
      <c r="C12" s="56">
        <f t="shared" ref="C12:F12" si="1">SUM(C5:C11)</f>
        <v>0</v>
      </c>
      <c r="D12" s="56">
        <f t="shared" si="1"/>
        <v>0</v>
      </c>
      <c r="E12" s="56">
        <f t="shared" si="1"/>
        <v>0</v>
      </c>
      <c r="F12" s="58">
        <f t="shared" si="1"/>
        <v>0</v>
      </c>
    </row>
    <row r="13" spans="1:8" ht="17.25" thickTop="1" x14ac:dyDescent="0.3">
      <c r="A13" s="2"/>
    </row>
    <row r="14" spans="1:8" x14ac:dyDescent="0.25">
      <c r="A14" s="321" t="s">
        <v>1481</v>
      </c>
    </row>
  </sheetData>
  <mergeCells count="2">
    <mergeCell ref="B3:F3"/>
    <mergeCell ref="A3:A4"/>
  </mergeCell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8"/>
  <sheetViews>
    <sheetView showGridLines="0" zoomScaleNormal="100" workbookViewId="0">
      <selection activeCell="A20" sqref="A20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ht="16.5" x14ac:dyDescent="0.3">
      <c r="A1" s="1" t="s">
        <v>85</v>
      </c>
    </row>
    <row r="2" spans="1:2" ht="16.5" x14ac:dyDescent="0.3">
      <c r="A2" s="2"/>
    </row>
    <row r="3" spans="1:2" ht="17.25" thickBot="1" x14ac:dyDescent="0.35">
      <c r="A3" s="2" t="s">
        <v>15</v>
      </c>
    </row>
    <row r="4" spans="1:2" ht="24" customHeight="1" thickTop="1" thickBot="1" x14ac:dyDescent="0.3">
      <c r="A4" s="10" t="s">
        <v>94</v>
      </c>
      <c r="B4" s="11" t="s">
        <v>63</v>
      </c>
    </row>
    <row r="5" spans="1:2" ht="24" thickTop="1" thickBot="1" x14ac:dyDescent="0.3">
      <c r="A5" s="12" t="s">
        <v>96</v>
      </c>
      <c r="B5" s="13" t="s">
        <v>18</v>
      </c>
    </row>
    <row r="6" spans="1:2" ht="24.75" customHeight="1" thickBot="1" x14ac:dyDescent="0.3">
      <c r="A6" s="16" t="s">
        <v>97</v>
      </c>
      <c r="B6" s="17" t="s">
        <v>18</v>
      </c>
    </row>
    <row r="7" spans="1:2" ht="15.75" thickTop="1" x14ac:dyDescent="0.25">
      <c r="A7" s="60"/>
      <c r="B7" s="18"/>
    </row>
    <row r="8" spans="1:2" x14ac:dyDescent="0.25">
      <c r="A8" s="322" t="s">
        <v>1481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5"/>
  <sheetViews>
    <sheetView showGridLines="0" zoomScaleNormal="100" workbookViewId="0">
      <selection activeCell="C9" sqref="C9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</cols>
  <sheetData>
    <row r="1" spans="1:2" ht="17.25" thickBot="1" x14ac:dyDescent="0.35">
      <c r="A1" s="1" t="s">
        <v>99</v>
      </c>
    </row>
    <row r="2" spans="1:2" ht="16.5" thickTop="1" thickBot="1" x14ac:dyDescent="0.3">
      <c r="A2" s="10" t="s">
        <v>86</v>
      </c>
      <c r="B2" s="11" t="s">
        <v>36</v>
      </c>
    </row>
    <row r="3" spans="1:2" ht="24" customHeight="1" thickTop="1" thickBot="1" x14ac:dyDescent="0.3">
      <c r="A3" s="12" t="s">
        <v>100</v>
      </c>
      <c r="B3" s="13">
        <v>1193208</v>
      </c>
    </row>
    <row r="4" spans="1:2" ht="24" customHeight="1" thickBot="1" x14ac:dyDescent="0.3">
      <c r="A4" s="16" t="s">
        <v>101</v>
      </c>
      <c r="B4" s="17" t="s">
        <v>18</v>
      </c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5"/>
  <sheetViews>
    <sheetView showGridLines="0" zoomScaleNormal="100" workbookViewId="0">
      <selection activeCell="A15" sqref="A15"/>
    </sheetView>
  </sheetViews>
  <sheetFormatPr defaultRowHeight="15" x14ac:dyDescent="0.25"/>
  <cols>
    <col min="1" max="1" width="22.140625" customWidth="1"/>
    <col min="2" max="4" width="21.42578125" customWidth="1"/>
  </cols>
  <sheetData>
    <row r="1" spans="1:7" ht="16.5" x14ac:dyDescent="0.3">
      <c r="A1" s="1" t="s">
        <v>102</v>
      </c>
    </row>
    <row r="2" spans="1:7" ht="17.25" thickBot="1" x14ac:dyDescent="0.35">
      <c r="A2" s="2" t="s">
        <v>8</v>
      </c>
    </row>
    <row r="3" spans="1:7" ht="45" customHeight="1" thickTop="1" thickBot="1" x14ac:dyDescent="0.3">
      <c r="A3" s="57" t="s">
        <v>1</v>
      </c>
      <c r="B3" s="65" t="s">
        <v>489</v>
      </c>
      <c r="C3" s="65" t="s">
        <v>104</v>
      </c>
      <c r="D3" s="65" t="s">
        <v>491</v>
      </c>
    </row>
    <row r="4" spans="1:7" ht="20.25" customHeight="1" thickTop="1" thickBot="1" x14ac:dyDescent="0.3">
      <c r="A4" s="14" t="s">
        <v>106</v>
      </c>
      <c r="B4" s="220">
        <f>SUMIF(HK!A:A,"606*",HK!L:L)-SUMIF(HK!A:A,"606*",HK!K:K)</f>
        <v>0</v>
      </c>
      <c r="C4" s="220">
        <f>SUMIF(HKM!A:A,"606*",HKM!L:L)-SUMIF(HKM!A:A,"606*",HKM!K:K)</f>
        <v>0</v>
      </c>
      <c r="D4" s="15"/>
      <c r="G4" s="245"/>
    </row>
    <row r="5" spans="1:7" ht="20.25" customHeight="1" thickBot="1" x14ac:dyDescent="0.3">
      <c r="A5" s="14" t="s">
        <v>107</v>
      </c>
      <c r="B5" s="15"/>
      <c r="C5" s="15"/>
      <c r="D5" s="15"/>
    </row>
    <row r="6" spans="1:7" ht="20.25" customHeight="1" thickBot="1" x14ac:dyDescent="0.3">
      <c r="A6" s="16" t="s">
        <v>108</v>
      </c>
      <c r="B6" s="17"/>
      <c r="C6" s="17"/>
      <c r="D6" s="17">
        <f>D4+D5</f>
        <v>0</v>
      </c>
    </row>
    <row r="7" spans="1:7" ht="15.75" thickTop="1" x14ac:dyDescent="0.25">
      <c r="A7" s="46"/>
      <c r="B7" s="20"/>
      <c r="C7" s="20"/>
      <c r="D7" s="20"/>
    </row>
    <row r="8" spans="1:7" x14ac:dyDescent="0.25">
      <c r="A8" s="46"/>
      <c r="B8" s="20"/>
      <c r="C8" s="20"/>
      <c r="D8" s="20"/>
    </row>
    <row r="9" spans="1:7" ht="15.75" thickBot="1" x14ac:dyDescent="0.3">
      <c r="A9" s="46" t="s">
        <v>114</v>
      </c>
      <c r="B9" s="20"/>
      <c r="C9" s="20"/>
      <c r="D9" s="20"/>
    </row>
    <row r="10" spans="1:7" ht="45" customHeight="1" thickTop="1" thickBot="1" x14ac:dyDescent="0.3">
      <c r="A10" s="57" t="s">
        <v>1</v>
      </c>
      <c r="B10" s="65" t="s">
        <v>489</v>
      </c>
      <c r="C10" s="65" t="s">
        <v>104</v>
      </c>
      <c r="D10" s="65" t="s">
        <v>490</v>
      </c>
    </row>
    <row r="11" spans="1:7" ht="35.25" thickTop="1" thickBot="1" x14ac:dyDescent="0.3">
      <c r="A11" s="14" t="s">
        <v>115</v>
      </c>
      <c r="B11" s="15"/>
      <c r="C11" s="15"/>
      <c r="D11" s="15"/>
    </row>
    <row r="12" spans="1:7" ht="34.5" thickBot="1" x14ac:dyDescent="0.3">
      <c r="A12" s="14" t="s">
        <v>116</v>
      </c>
      <c r="B12" s="15"/>
      <c r="C12" s="15"/>
      <c r="D12" s="15"/>
    </row>
    <row r="13" spans="1:7" ht="15.75" thickBot="1" x14ac:dyDescent="0.3">
      <c r="A13" s="16" t="s">
        <v>108</v>
      </c>
      <c r="B13" s="17">
        <f>B11+B12</f>
        <v>0</v>
      </c>
      <c r="C13" s="17">
        <f t="shared" ref="C13:D13" si="0">C11+C12</f>
        <v>0</v>
      </c>
      <c r="D13" s="17">
        <f t="shared" si="0"/>
        <v>0</v>
      </c>
    </row>
    <row r="14" spans="1:7" ht="17.25" thickTop="1" x14ac:dyDescent="0.3">
      <c r="A14" s="5"/>
    </row>
    <row r="15" spans="1:7" x14ac:dyDescent="0.25">
      <c r="A15" s="321" t="s">
        <v>1481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18"/>
  <sheetViews>
    <sheetView showGridLines="0" topLeftCell="A3" zoomScaleNormal="100" workbookViewId="0">
      <selection activeCell="A24" sqref="A24"/>
    </sheetView>
  </sheetViews>
  <sheetFormatPr defaultRowHeight="15" x14ac:dyDescent="0.25"/>
  <cols>
    <col min="1" max="1" width="28.7109375" customWidth="1"/>
    <col min="2" max="3" width="28.85546875" customWidth="1"/>
    <col min="4" max="4" width="36.5703125" customWidth="1"/>
  </cols>
  <sheetData>
    <row r="1" spans="1:3" ht="16.5" x14ac:dyDescent="0.3">
      <c r="A1" s="1" t="s">
        <v>102</v>
      </c>
    </row>
    <row r="2" spans="1:3" ht="16.5" x14ac:dyDescent="0.3">
      <c r="A2" s="2"/>
    </row>
    <row r="3" spans="1:3" ht="15.75" thickBot="1" x14ac:dyDescent="0.3">
      <c r="A3" s="20" t="s">
        <v>15</v>
      </c>
      <c r="B3" s="20"/>
      <c r="C3" s="20"/>
    </row>
    <row r="4" spans="1:3" ht="45" customHeight="1" thickTop="1" thickBot="1" x14ac:dyDescent="0.3">
      <c r="A4" s="57" t="s">
        <v>109</v>
      </c>
      <c r="B4" s="65" t="s">
        <v>103</v>
      </c>
      <c r="C4" s="65" t="s">
        <v>105</v>
      </c>
    </row>
    <row r="5" spans="1:3" ht="24" thickTop="1" thickBot="1" x14ac:dyDescent="0.3">
      <c r="A5" s="14" t="s">
        <v>110</v>
      </c>
      <c r="B5" s="15"/>
      <c r="C5" s="15"/>
    </row>
    <row r="6" spans="1:3" ht="34.5" thickBot="1" x14ac:dyDescent="0.3">
      <c r="A6" s="14" t="s">
        <v>111</v>
      </c>
      <c r="B6" s="15"/>
      <c r="C6" s="15"/>
    </row>
    <row r="7" spans="1:3" ht="20.25" customHeight="1" thickBot="1" x14ac:dyDescent="0.3">
      <c r="A7" s="14" t="s">
        <v>112</v>
      </c>
      <c r="B7" s="15"/>
      <c r="C7" s="15"/>
    </row>
    <row r="8" spans="1:3" ht="20.25" customHeight="1" thickBot="1" x14ac:dyDescent="0.3">
      <c r="A8" s="16" t="s">
        <v>113</v>
      </c>
      <c r="B8" s="17"/>
      <c r="C8" s="17"/>
    </row>
    <row r="9" spans="1:3" ht="15.75" thickTop="1" x14ac:dyDescent="0.25">
      <c r="A9" s="20"/>
      <c r="B9" s="20"/>
      <c r="C9" s="20"/>
    </row>
    <row r="10" spans="1:3" x14ac:dyDescent="0.25">
      <c r="A10" s="47"/>
      <c r="B10" s="20"/>
      <c r="C10" s="20"/>
    </row>
    <row r="11" spans="1:3" ht="15.75" thickBot="1" x14ac:dyDescent="0.3">
      <c r="A11" s="47" t="s">
        <v>117</v>
      </c>
      <c r="B11" s="20"/>
      <c r="C11" s="20"/>
    </row>
    <row r="12" spans="1:3" ht="45" customHeight="1" thickTop="1" thickBot="1" x14ac:dyDescent="0.3">
      <c r="A12" s="57" t="s">
        <v>118</v>
      </c>
      <c r="B12" s="65" t="s">
        <v>103</v>
      </c>
      <c r="C12" s="65" t="s">
        <v>490</v>
      </c>
    </row>
    <row r="13" spans="1:3" ht="35.25" thickTop="1" thickBot="1" x14ac:dyDescent="0.3">
      <c r="A13" s="14" t="s">
        <v>119</v>
      </c>
      <c r="B13" s="15"/>
      <c r="C13" s="15"/>
    </row>
    <row r="14" spans="1:3" ht="34.5" thickBot="1" x14ac:dyDescent="0.3">
      <c r="A14" s="14" t="s">
        <v>111</v>
      </c>
      <c r="B14" s="15"/>
      <c r="C14" s="15"/>
    </row>
    <row r="15" spans="1:3" ht="20.25" customHeight="1" thickBot="1" x14ac:dyDescent="0.3">
      <c r="A15" s="14" t="s">
        <v>120</v>
      </c>
      <c r="B15" s="15"/>
      <c r="C15" s="15"/>
    </row>
    <row r="16" spans="1:3" ht="20.25" customHeight="1" thickBot="1" x14ac:dyDescent="0.3">
      <c r="A16" s="16" t="s">
        <v>113</v>
      </c>
      <c r="B16" s="17"/>
      <c r="C16" s="17"/>
    </row>
    <row r="17" spans="1:1" ht="15.75" thickTop="1" x14ac:dyDescent="0.25"/>
    <row r="18" spans="1:1" x14ac:dyDescent="0.25">
      <c r="A18" s="321" t="s">
        <v>1481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10"/>
  <sheetViews>
    <sheetView showGridLines="0" zoomScaleNormal="100" workbookViewId="0">
      <selection activeCell="F17" sqref="F17"/>
    </sheetView>
  </sheetViews>
  <sheetFormatPr defaultRowHeight="15" x14ac:dyDescent="0.25"/>
  <cols>
    <col min="1" max="1" width="25.28515625" customWidth="1"/>
    <col min="2" max="6" width="12.140625" customWidth="1"/>
  </cols>
  <sheetData>
    <row r="1" spans="1:11" ht="17.25" thickBot="1" x14ac:dyDescent="0.35">
      <c r="A1" s="1" t="s">
        <v>121</v>
      </c>
    </row>
    <row r="2" spans="1:11" ht="16.5" thickTop="1" thickBot="1" x14ac:dyDescent="0.3">
      <c r="A2" s="359" t="s">
        <v>122</v>
      </c>
      <c r="B2" s="361" t="s">
        <v>2</v>
      </c>
      <c r="C2" s="367"/>
      <c r="D2" s="367"/>
      <c r="E2" s="367"/>
      <c r="F2" s="362"/>
    </row>
    <row r="3" spans="1:11" ht="62.25" customHeight="1" thickTop="1" thickBot="1" x14ac:dyDescent="0.3">
      <c r="A3" s="360"/>
      <c r="B3" s="179" t="s">
        <v>123</v>
      </c>
      <c r="C3" s="39" t="s">
        <v>455</v>
      </c>
      <c r="D3" s="179" t="s">
        <v>459</v>
      </c>
      <c r="E3" s="39" t="s">
        <v>457</v>
      </c>
      <c r="F3" s="179" t="s">
        <v>89</v>
      </c>
    </row>
    <row r="4" spans="1:11" s="4" customFormat="1" ht="33" customHeight="1" thickTop="1" thickBot="1" x14ac:dyDescent="0.3">
      <c r="A4" s="163" t="s">
        <v>125</v>
      </c>
      <c r="B4" s="249">
        <f>SUMIF(SUAM!C:C,"039",SUAM!E:E)+SUMIF(SUAM!C:C,"047",SUAM!E:E)</f>
        <v>77542.320000000007</v>
      </c>
      <c r="C4" s="184">
        <v>22915</v>
      </c>
      <c r="D4" s="184">
        <v>735</v>
      </c>
      <c r="E4" s="184"/>
      <c r="F4" s="250">
        <f>SUMIF(SUA!C:C,"039",SUA!E:E)+SUMIF(SUA!C:C,"047",SUA!E:E)</f>
        <v>99722.46</v>
      </c>
      <c r="G4" s="251"/>
      <c r="H4" s="251"/>
      <c r="I4" s="252"/>
      <c r="K4" s="161"/>
    </row>
    <row r="5" spans="1:11" s="4" customFormat="1" ht="33" customHeight="1" thickBot="1" x14ac:dyDescent="0.3">
      <c r="A5" s="163" t="s">
        <v>126</v>
      </c>
      <c r="B5" s="253">
        <f>SUMIF(SUAM!C:C,"041",SUAM!E:E)+SUMIF(SUAM!C:C,"049",SUAM!E:E)</f>
        <v>0</v>
      </c>
      <c r="C5" s="183"/>
      <c r="D5" s="183"/>
      <c r="E5" s="183"/>
      <c r="F5" s="220">
        <f>SUMIF(SUA!C:C,"041",SUA!E:E)+SUMIF(SUA!C:C,"049",SUA!E:E)</f>
        <v>0</v>
      </c>
      <c r="G5" s="251"/>
      <c r="H5" s="251"/>
      <c r="I5" s="252"/>
      <c r="K5" s="161"/>
    </row>
    <row r="6" spans="1:11" s="4" customFormat="1" ht="33" customHeight="1" thickBot="1" x14ac:dyDescent="0.3">
      <c r="A6" s="163" t="s">
        <v>136</v>
      </c>
      <c r="B6" s="253">
        <f>SUMIF(SUAM!C:C,"042",SUAM!E:E)+SUMIF(SUAM!C:C,"050",SUAM!E:E)</f>
        <v>0</v>
      </c>
      <c r="C6" s="183"/>
      <c r="D6" s="183"/>
      <c r="E6" s="183"/>
      <c r="F6" s="220">
        <f>SUMIF(SUA!C:C,"042",SUA!E:E)+SUMIF(SUA!C:C,"050",SUA!E:E)</f>
        <v>0</v>
      </c>
      <c r="G6" s="251"/>
      <c r="H6" s="251"/>
      <c r="I6" s="252"/>
      <c r="K6" s="161"/>
    </row>
    <row r="7" spans="1:11" s="4" customFormat="1" ht="33" customHeight="1" thickBot="1" x14ac:dyDescent="0.3">
      <c r="A7" s="163" t="s">
        <v>127</v>
      </c>
      <c r="B7" s="253">
        <f>SUMIF(SUAM!C:C,"043",SUAM!E:E)+SUMIF(SUAM!C:C,"051",SUAM!E:E)</f>
        <v>0</v>
      </c>
      <c r="C7" s="183"/>
      <c r="D7" s="183"/>
      <c r="E7" s="183"/>
      <c r="F7" s="220">
        <f>SUMIF(SUA!C:C,"043",SUA!E:E)+SUMIF(SUA!C:C,"051",SUA!E:E)</f>
        <v>0</v>
      </c>
      <c r="G7" s="251"/>
      <c r="H7" s="251"/>
      <c r="I7" s="252"/>
      <c r="K7" s="161"/>
    </row>
    <row r="8" spans="1:11" s="4" customFormat="1" ht="33" customHeight="1" thickBot="1" x14ac:dyDescent="0.3">
      <c r="A8" s="163" t="s">
        <v>128</v>
      </c>
      <c r="B8" s="253">
        <f>SUMIF(SUAM!C:C,"044",SUAM!E:E)+SUMIF(SUAM!C:C,"052",SUAM!E:E)+SUMIF(SUAM!C:C,"053",SUAM!E:E)</f>
        <v>0</v>
      </c>
      <c r="C8" s="183"/>
      <c r="D8" s="183"/>
      <c r="E8" s="183"/>
      <c r="F8" s="220">
        <f>SUMIF(SUA!C:C,"044",SUA!E:E)+SUMIF(SUA!C:C,"052",SUA!E:E)+SUMIF(SUA!C:C,"053",SUA!E:E)</f>
        <v>0</v>
      </c>
      <c r="G8" s="251"/>
      <c r="H8" s="251"/>
      <c r="I8" s="252"/>
      <c r="K8" s="161"/>
    </row>
    <row r="9" spans="1:11" s="4" customFormat="1" ht="33" customHeight="1" thickBot="1" x14ac:dyDescent="0.3">
      <c r="A9" s="164" t="s">
        <v>129</v>
      </c>
      <c r="B9" s="180">
        <v>77542</v>
      </c>
      <c r="C9" s="181">
        <v>22915</v>
      </c>
      <c r="D9" s="181">
        <v>735</v>
      </c>
      <c r="E9" s="181"/>
      <c r="F9" s="181">
        <f>SUM(F4:F8)</f>
        <v>99722.46</v>
      </c>
    </row>
    <row r="10" spans="1:11" ht="15.75" thickTop="1" x14ac:dyDescent="0.25"/>
  </sheetData>
  <mergeCells count="2">
    <mergeCell ref="B2:F2"/>
    <mergeCell ref="A2:A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C6"/>
  <sheetViews>
    <sheetView showGridLines="0" tabSelected="1" zoomScaleNormal="100" workbookViewId="0">
      <selection activeCell="E9" sqref="E9"/>
    </sheetView>
  </sheetViews>
  <sheetFormatPr defaultRowHeight="15" x14ac:dyDescent="0.25"/>
  <cols>
    <col min="1" max="1" width="33.28515625" customWidth="1"/>
    <col min="2" max="3" width="26.140625" customWidth="1"/>
  </cols>
  <sheetData>
    <row r="1" spans="1:3" ht="17.25" thickBot="1" x14ac:dyDescent="0.35">
      <c r="A1" s="1" t="s">
        <v>0</v>
      </c>
    </row>
    <row r="2" spans="1:3" ht="21.75" customHeight="1" thickTop="1" thickBot="1" x14ac:dyDescent="0.3">
      <c r="A2" s="10" t="s">
        <v>1</v>
      </c>
      <c r="B2" s="11" t="s">
        <v>2</v>
      </c>
      <c r="C2" s="11" t="s">
        <v>3</v>
      </c>
    </row>
    <row r="3" spans="1:3" ht="22.5" customHeight="1" thickTop="1" thickBot="1" x14ac:dyDescent="0.3">
      <c r="A3" s="12" t="s">
        <v>4</v>
      </c>
      <c r="B3" s="318">
        <v>46</v>
      </c>
      <c r="C3" s="13">
        <v>45</v>
      </c>
    </row>
    <row r="4" spans="1:3" ht="22.5" customHeight="1" thickBot="1" x14ac:dyDescent="0.3">
      <c r="A4" s="14" t="s">
        <v>5</v>
      </c>
      <c r="B4" s="333">
        <v>48</v>
      </c>
      <c r="C4" s="15">
        <v>45</v>
      </c>
    </row>
    <row r="5" spans="1:3" ht="22.5" customHeight="1" thickBot="1" x14ac:dyDescent="0.3">
      <c r="A5" s="16" t="s">
        <v>6</v>
      </c>
      <c r="B5" s="17">
        <v>3</v>
      </c>
      <c r="C5" s="17">
        <v>3</v>
      </c>
    </row>
    <row r="6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0"/>
  <sheetViews>
    <sheetView showGridLines="0" zoomScaleNormal="100" workbookViewId="0">
      <selection activeCell="B17" sqref="B17"/>
    </sheetView>
  </sheetViews>
  <sheetFormatPr defaultRowHeight="15" x14ac:dyDescent="0.25"/>
  <cols>
    <col min="1" max="1" width="25.85546875" customWidth="1"/>
    <col min="2" max="4" width="20.140625" customWidth="1"/>
    <col min="5" max="6" width="20.42578125" customWidth="1"/>
  </cols>
  <sheetData>
    <row r="1" spans="1:6" ht="16.5" x14ac:dyDescent="0.3">
      <c r="A1" s="1" t="s">
        <v>130</v>
      </c>
    </row>
    <row r="2" spans="1:6" ht="17.25" thickBot="1" x14ac:dyDescent="0.35">
      <c r="A2" s="2" t="s">
        <v>8</v>
      </c>
    </row>
    <row r="3" spans="1:6" ht="22.5" customHeight="1" thickTop="1" thickBot="1" x14ac:dyDescent="0.3">
      <c r="A3" s="10" t="s">
        <v>131</v>
      </c>
      <c r="B3" s="11" t="s">
        <v>132</v>
      </c>
      <c r="C3" s="11" t="s">
        <v>133</v>
      </c>
      <c r="D3" s="11" t="s">
        <v>129</v>
      </c>
    </row>
    <row r="4" spans="1:6" ht="22.5" customHeight="1" thickTop="1" thickBot="1" x14ac:dyDescent="0.3">
      <c r="A4" s="61" t="s">
        <v>134</v>
      </c>
      <c r="B4" s="51"/>
      <c r="C4" s="51"/>
      <c r="D4" s="52"/>
    </row>
    <row r="5" spans="1:6" ht="22.5" customHeight="1" thickTop="1" thickBot="1" x14ac:dyDescent="0.3">
      <c r="A5" s="14" t="s">
        <v>135</v>
      </c>
      <c r="B5" s="22"/>
      <c r="C5" s="22"/>
      <c r="D5" s="255">
        <f>SUMIF(SUA!C:C,"039",SUA!F:F)</f>
        <v>0</v>
      </c>
      <c r="E5" s="256"/>
      <c r="F5" s="252"/>
    </row>
    <row r="6" spans="1:6" ht="22.5" customHeight="1" thickBot="1" x14ac:dyDescent="0.3">
      <c r="A6" s="14" t="s">
        <v>126</v>
      </c>
      <c r="B6" s="22"/>
      <c r="C6" s="22"/>
      <c r="D6" s="255">
        <f>SUMIF(SUA!C:C,"041",SUA!F:F)</f>
        <v>0</v>
      </c>
      <c r="E6" s="256"/>
      <c r="F6" s="252"/>
    </row>
    <row r="7" spans="1:6" ht="22.5" customHeight="1" thickBot="1" x14ac:dyDescent="0.3">
      <c r="A7" s="14" t="s">
        <v>136</v>
      </c>
      <c r="B7" s="22"/>
      <c r="C7" s="22"/>
      <c r="D7" s="255">
        <f>SUMIF(SUA!C:C,"042",SUA!F:F)</f>
        <v>0</v>
      </c>
      <c r="E7" s="256"/>
      <c r="F7" s="252"/>
    </row>
    <row r="8" spans="1:6" ht="22.5" customHeight="1" thickBot="1" x14ac:dyDescent="0.3">
      <c r="A8" s="14" t="s">
        <v>127</v>
      </c>
      <c r="B8" s="22"/>
      <c r="C8" s="22"/>
      <c r="D8" s="255">
        <f>SUMIF(SUA!C:C,"043",SUA!F:F)</f>
        <v>0</v>
      </c>
      <c r="E8" s="256"/>
      <c r="F8" s="252"/>
    </row>
    <row r="9" spans="1:6" ht="22.5" customHeight="1" thickBot="1" x14ac:dyDescent="0.3">
      <c r="A9" s="14" t="s">
        <v>128</v>
      </c>
      <c r="B9" s="22"/>
      <c r="C9" s="22"/>
      <c r="D9" s="255">
        <f>SUMIF(SUA!C:C,"044",SUA!F:F)</f>
        <v>0</v>
      </c>
      <c r="E9" s="256"/>
      <c r="F9" s="252"/>
    </row>
    <row r="10" spans="1:6" ht="22.5" customHeight="1" thickBot="1" x14ac:dyDescent="0.3">
      <c r="A10" s="24" t="s">
        <v>137</v>
      </c>
      <c r="B10" s="56">
        <f>SUM(B5:B9)</f>
        <v>0</v>
      </c>
      <c r="C10" s="56">
        <f>SUM(C5:C9)</f>
        <v>0</v>
      </c>
      <c r="D10" s="246">
        <f>SUM(D5:D9)</f>
        <v>0</v>
      </c>
      <c r="E10" s="256"/>
      <c r="F10" s="256"/>
    </row>
    <row r="11" spans="1:6" ht="22.5" customHeight="1" thickTop="1" thickBot="1" x14ac:dyDescent="0.3">
      <c r="A11" s="61" t="s">
        <v>138</v>
      </c>
      <c r="B11" s="51"/>
      <c r="C11" s="51"/>
      <c r="D11" s="244"/>
      <c r="E11" s="256"/>
      <c r="F11" s="256"/>
    </row>
    <row r="12" spans="1:6" ht="22.5" customHeight="1" thickTop="1" thickBot="1" x14ac:dyDescent="0.3">
      <c r="A12" s="14" t="s">
        <v>139</v>
      </c>
      <c r="B12" s="22">
        <v>66986</v>
      </c>
      <c r="C12" s="22">
        <v>131517</v>
      </c>
      <c r="D12" s="255">
        <f>SUMIF(SUA!C:C,"047",SUA!F:F)</f>
        <v>198502.62</v>
      </c>
      <c r="E12" s="256"/>
      <c r="F12" s="252"/>
    </row>
    <row r="13" spans="1:6" ht="22.5" customHeight="1" thickBot="1" x14ac:dyDescent="0.3">
      <c r="A13" s="14" t="s">
        <v>126</v>
      </c>
      <c r="B13" s="22"/>
      <c r="C13" s="22"/>
      <c r="D13" s="255">
        <f>SUMIF(SUA!C:C,"049",SUA!F:F)</f>
        <v>0</v>
      </c>
      <c r="E13" s="256"/>
      <c r="F13" s="252"/>
    </row>
    <row r="14" spans="1:6" ht="22.5" customHeight="1" thickBot="1" x14ac:dyDescent="0.3">
      <c r="A14" s="14" t="s">
        <v>136</v>
      </c>
      <c r="B14" s="22"/>
      <c r="C14" s="22"/>
      <c r="D14" s="255">
        <f>SUMIF(SUA!C:C,"050",SUA!F:F)</f>
        <v>0</v>
      </c>
      <c r="E14" s="256"/>
      <c r="F14" s="252"/>
    </row>
    <row r="15" spans="1:6" ht="22.5" customHeight="1" thickBot="1" x14ac:dyDescent="0.3">
      <c r="A15" s="14" t="s">
        <v>127</v>
      </c>
      <c r="B15" s="22"/>
      <c r="C15" s="22"/>
      <c r="D15" s="255">
        <f>SUMIF(SUA!C:C,"051",SUA!F:F)</f>
        <v>0</v>
      </c>
      <c r="E15" s="256"/>
      <c r="F15" s="252"/>
    </row>
    <row r="16" spans="1:6" ht="22.5" customHeight="1" thickBot="1" x14ac:dyDescent="0.3">
      <c r="A16" s="14" t="s">
        <v>140</v>
      </c>
      <c r="B16" s="22"/>
      <c r="C16" s="22"/>
      <c r="D16" s="255">
        <f>SUMIF(SUA!C:C,"052",SUA!F:F)</f>
        <v>0</v>
      </c>
      <c r="E16" s="256"/>
      <c r="F16" s="252"/>
    </row>
    <row r="17" spans="1:6" ht="22.5" customHeight="1" thickBot="1" x14ac:dyDescent="0.3">
      <c r="A17" s="14" t="s">
        <v>141</v>
      </c>
      <c r="B17" s="22"/>
      <c r="C17" s="22"/>
      <c r="D17" s="255">
        <f>SUMIF(SUA!C:C,"053",SUA!F:F)</f>
        <v>0</v>
      </c>
      <c r="E17" s="256"/>
      <c r="F17" s="252"/>
    </row>
    <row r="18" spans="1:6" ht="22.5" customHeight="1" thickBot="1" x14ac:dyDescent="0.3">
      <c r="A18" s="14" t="s">
        <v>128</v>
      </c>
      <c r="B18" s="22">
        <v>6349</v>
      </c>
      <c r="C18" s="22"/>
      <c r="D18" s="255">
        <f>SUMIF(SUA!C:C,"054",SUA!F:F)</f>
        <v>6349.12</v>
      </c>
      <c r="E18" s="256"/>
      <c r="F18" s="252"/>
    </row>
    <row r="19" spans="1:6" ht="22.5" customHeight="1" thickBot="1" x14ac:dyDescent="0.3">
      <c r="A19" s="24" t="s">
        <v>142</v>
      </c>
      <c r="B19" s="56">
        <f>SUM(B12:B18)</f>
        <v>73335</v>
      </c>
      <c r="C19" s="56">
        <f>SUM(C12:C18)</f>
        <v>131517</v>
      </c>
      <c r="D19" s="58">
        <f>SUM(D12:D18)</f>
        <v>204851.74</v>
      </c>
    </row>
    <row r="20" spans="1:6" ht="17.25" thickTop="1" x14ac:dyDescent="0.3">
      <c r="A20" s="6"/>
    </row>
  </sheetData>
  <pageMargins left="0.7" right="0.7" top="0.75" bottom="0.75" header="0.3" footer="0.3"/>
  <pageSetup paperSize="9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11"/>
  <sheetViews>
    <sheetView showGridLines="0" zoomScaleNormal="100" workbookViewId="0">
      <selection activeCell="C14" sqref="C14"/>
    </sheetView>
  </sheetViews>
  <sheetFormatPr defaultRowHeight="15" x14ac:dyDescent="0.25"/>
  <cols>
    <col min="1" max="1" width="33.5703125" customWidth="1"/>
    <col min="2" max="3" width="26.42578125" customWidth="1"/>
    <col min="4" max="6" width="20.42578125" customWidth="1"/>
  </cols>
  <sheetData>
    <row r="1" spans="1:3" ht="16.5" x14ac:dyDescent="0.3">
      <c r="A1" s="1" t="s">
        <v>130</v>
      </c>
    </row>
    <row r="2" spans="1:3" ht="17.25" thickBot="1" x14ac:dyDescent="0.35">
      <c r="A2" s="5" t="s">
        <v>15</v>
      </c>
    </row>
    <row r="3" spans="1:3" ht="33" customHeight="1" thickTop="1" x14ac:dyDescent="0.25">
      <c r="A3" s="359" t="s">
        <v>460</v>
      </c>
      <c r="B3" s="359" t="s">
        <v>2</v>
      </c>
      <c r="C3" s="359" t="s">
        <v>3</v>
      </c>
    </row>
    <row r="4" spans="1:3" ht="15.75" customHeight="1" thickBot="1" x14ac:dyDescent="0.3">
      <c r="A4" s="360"/>
      <c r="B4" s="360"/>
      <c r="C4" s="360"/>
    </row>
    <row r="5" spans="1:3" ht="23.25" customHeight="1" thickTop="1" thickBot="1" x14ac:dyDescent="0.3">
      <c r="A5" s="14" t="s">
        <v>143</v>
      </c>
      <c r="B5" s="62">
        <v>220879</v>
      </c>
      <c r="C5" s="63">
        <v>260276</v>
      </c>
    </row>
    <row r="6" spans="1:3" ht="23.25" customHeight="1" thickBot="1" x14ac:dyDescent="0.3">
      <c r="A6" s="14" t="s">
        <v>461</v>
      </c>
      <c r="B6" s="62">
        <v>83695</v>
      </c>
      <c r="C6" s="324">
        <v>118437</v>
      </c>
    </row>
    <row r="7" spans="1:3" ht="23.25" customHeight="1" thickBot="1" x14ac:dyDescent="0.3">
      <c r="A7" s="43" t="s">
        <v>142</v>
      </c>
      <c r="B7" s="62">
        <v>304574</v>
      </c>
      <c r="C7" s="63">
        <v>378713</v>
      </c>
    </row>
    <row r="8" spans="1:3" ht="23.25" customHeight="1" thickBot="1" x14ac:dyDescent="0.3">
      <c r="A8" s="14" t="s">
        <v>144</v>
      </c>
      <c r="B8" s="62" t="s">
        <v>18</v>
      </c>
      <c r="C8" s="63"/>
    </row>
    <row r="9" spans="1:3" ht="23.25" customHeight="1" thickBot="1" x14ac:dyDescent="0.3">
      <c r="A9" s="14" t="s">
        <v>145</v>
      </c>
      <c r="B9" s="62" t="s">
        <v>18</v>
      </c>
      <c r="C9" s="63"/>
    </row>
    <row r="10" spans="1:3" ht="23.25" customHeight="1" thickBot="1" x14ac:dyDescent="0.3">
      <c r="A10" s="24" t="s">
        <v>137</v>
      </c>
      <c r="B10" s="62" t="s">
        <v>18</v>
      </c>
      <c r="C10" s="63"/>
    </row>
    <row r="11" spans="1:3" ht="17.25" thickTop="1" x14ac:dyDescent="0.3">
      <c r="A11" s="3"/>
    </row>
  </sheetData>
  <mergeCells count="3">
    <mergeCell ref="B3:B4"/>
    <mergeCell ref="C3:C4"/>
    <mergeCell ref="A3:A4"/>
  </mergeCells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7"/>
  <sheetViews>
    <sheetView showGridLines="0" zoomScaleNormal="100" workbookViewId="0">
      <selection activeCell="E25" sqref="E25"/>
    </sheetView>
  </sheetViews>
  <sheetFormatPr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7.25" thickBot="1" x14ac:dyDescent="0.35">
      <c r="A1" s="1" t="s">
        <v>146</v>
      </c>
    </row>
    <row r="2" spans="1:3" ht="16.5" thickTop="1" thickBot="1" x14ac:dyDescent="0.3">
      <c r="A2" s="359" t="s">
        <v>147</v>
      </c>
      <c r="B2" s="378" t="s">
        <v>2</v>
      </c>
      <c r="C2" s="379"/>
    </row>
    <row r="3" spans="1:3" ht="16.5" thickTop="1" thickBot="1" x14ac:dyDescent="0.3">
      <c r="A3" s="360"/>
      <c r="B3" s="11" t="s">
        <v>148</v>
      </c>
      <c r="C3" s="57" t="s">
        <v>149</v>
      </c>
    </row>
    <row r="4" spans="1:3" ht="23.25" customHeight="1" thickTop="1" thickBot="1" x14ac:dyDescent="0.3">
      <c r="A4" s="12" t="s">
        <v>150</v>
      </c>
      <c r="B4" s="325" t="s">
        <v>18</v>
      </c>
      <c r="C4" s="326" t="s">
        <v>18</v>
      </c>
    </row>
    <row r="5" spans="1:3" ht="23.25" customHeight="1" thickBot="1" x14ac:dyDescent="0.3">
      <c r="A5" s="14" t="s">
        <v>151</v>
      </c>
      <c r="B5" s="59" t="s">
        <v>18</v>
      </c>
      <c r="C5" s="15">
        <v>287866</v>
      </c>
    </row>
    <row r="6" spans="1:3" ht="23.25" customHeight="1" thickBot="1" x14ac:dyDescent="0.3">
      <c r="A6" s="16" t="s">
        <v>152</v>
      </c>
      <c r="B6" s="33" t="s">
        <v>18</v>
      </c>
      <c r="C6" s="327" t="s">
        <v>18</v>
      </c>
    </row>
    <row r="7" spans="1:3" ht="17.25" thickTop="1" x14ac:dyDescent="0.3">
      <c r="A7" s="1"/>
    </row>
  </sheetData>
  <mergeCells count="2">
    <mergeCell ref="A2:A3"/>
    <mergeCell ref="B2:C2"/>
  </mergeCells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9"/>
  <sheetViews>
    <sheetView showGridLines="0" zoomScaleNormal="100" workbookViewId="0">
      <selection activeCell="C5" sqref="C5"/>
    </sheetView>
  </sheetViews>
  <sheetFormatPr defaultRowHeight="15" x14ac:dyDescent="0.25"/>
  <cols>
    <col min="1" max="1" width="33" customWidth="1"/>
    <col min="2" max="3" width="26.7109375" customWidth="1"/>
    <col min="4" max="6" width="20.42578125" customWidth="1"/>
  </cols>
  <sheetData>
    <row r="1" spans="1:5" ht="16.5" x14ac:dyDescent="0.3">
      <c r="A1" s="1" t="s">
        <v>153</v>
      </c>
    </row>
    <row r="2" spans="1:5" ht="17.25" thickBot="1" x14ac:dyDescent="0.35">
      <c r="A2" s="5" t="s">
        <v>154</v>
      </c>
    </row>
    <row r="3" spans="1:5" ht="30" customHeight="1" thickTop="1" thickBot="1" x14ac:dyDescent="0.3">
      <c r="A3" s="10" t="s">
        <v>131</v>
      </c>
      <c r="B3" s="11" t="s">
        <v>2</v>
      </c>
      <c r="C3" s="11" t="s">
        <v>3</v>
      </c>
    </row>
    <row r="4" spans="1:5" ht="18.75" customHeight="1" thickTop="1" thickBot="1" x14ac:dyDescent="0.3">
      <c r="A4" s="162" t="s">
        <v>155</v>
      </c>
      <c r="B4" s="257">
        <f>SUMIF(SUA!C:C,"056",SUA!F:F)</f>
        <v>9143.7199999999993</v>
      </c>
      <c r="C4" s="258">
        <f>SUMIF(SUA!C:C,"056",SUA!G:G)</f>
        <v>26642.17</v>
      </c>
      <c r="D4" s="256"/>
      <c r="E4" s="252"/>
    </row>
    <row r="5" spans="1:5" ht="15.75" thickBot="1" x14ac:dyDescent="0.3">
      <c r="A5" s="163" t="s">
        <v>156</v>
      </c>
      <c r="B5" s="259">
        <f>SUMIF(SUA!C:C,"057",SUA!F:F)-(SUMIF(HK!A:A,"261*",HK!K:K)+SUMIF(HK!A:A,"261*",HK!L:L))</f>
        <v>0</v>
      </c>
      <c r="C5" s="260">
        <f>SUMIF(SUA!C:C,"057",SUA!G:G)-(SUMIF(HK!A:A,"261*",HK!C:C)+SUMIF(HK!A:A,"261*",HK!D:D))</f>
        <v>0</v>
      </c>
      <c r="D5" s="256"/>
      <c r="E5" s="252"/>
    </row>
    <row r="6" spans="1:5" ht="18.75" customHeight="1" thickBot="1" x14ac:dyDescent="0.3">
      <c r="A6" s="163" t="s">
        <v>157</v>
      </c>
      <c r="B6" s="259">
        <f>SUMIF(SUA!C:C,"058",SUA!F:F)</f>
        <v>0</v>
      </c>
      <c r="C6" s="260">
        <f>SUMIF(SUA!C:C,"058",SUA!G:G)</f>
        <v>0</v>
      </c>
      <c r="D6" s="256"/>
      <c r="E6" s="252"/>
    </row>
    <row r="7" spans="1:5" ht="18.75" customHeight="1" thickBot="1" x14ac:dyDescent="0.3">
      <c r="A7" s="163" t="s">
        <v>158</v>
      </c>
      <c r="B7" s="259">
        <f>SUMIF(HK!A:A,"261*",HK!K:K)-SUMIF(HK!A:A,"261*",HK!L:L)</f>
        <v>0</v>
      </c>
      <c r="C7" s="260">
        <f>SUMIF(HK!A:A,"261*",HK!C:C)-SUMIF(HK!A:A,"261*",HK!D:D)</f>
        <v>0</v>
      </c>
      <c r="D7" s="256"/>
      <c r="E7" s="252"/>
    </row>
    <row r="8" spans="1:5" ht="18.75" customHeight="1" thickBot="1" x14ac:dyDescent="0.3">
      <c r="A8" s="164" t="s">
        <v>14</v>
      </c>
      <c r="B8" s="165">
        <f>SUM(B4:B7)</f>
        <v>9143.7199999999993</v>
      </c>
      <c r="C8" s="58">
        <f>SUM(C4:C7)</f>
        <v>26642.17</v>
      </c>
    </row>
    <row r="9" spans="1:5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5"/>
  <sheetViews>
    <sheetView showGridLines="0" zoomScaleNormal="100" workbookViewId="0">
      <selection activeCell="C24" sqref="C24"/>
    </sheetView>
  </sheetViews>
  <sheetFormatPr defaultRowHeight="15" x14ac:dyDescent="0.25"/>
  <cols>
    <col min="1" max="1" width="24.5703125" customWidth="1"/>
    <col min="2" max="5" width="15.42578125" customWidth="1"/>
    <col min="6" max="6" width="20.42578125" customWidth="1"/>
  </cols>
  <sheetData>
    <row r="1" spans="1:7" ht="16.5" x14ac:dyDescent="0.3">
      <c r="A1" s="1" t="s">
        <v>153</v>
      </c>
    </row>
    <row r="3" spans="1:7" ht="17.25" thickBot="1" x14ac:dyDescent="0.35">
      <c r="A3" s="5" t="s">
        <v>15</v>
      </c>
    </row>
    <row r="4" spans="1:7" ht="16.5" thickTop="1" thickBot="1" x14ac:dyDescent="0.3">
      <c r="A4" s="359" t="s">
        <v>159</v>
      </c>
      <c r="B4" s="361" t="s">
        <v>2</v>
      </c>
      <c r="C4" s="367"/>
      <c r="D4" s="367"/>
      <c r="E4" s="362"/>
    </row>
    <row r="5" spans="1:7" ht="18" customHeight="1" thickTop="1" x14ac:dyDescent="0.25">
      <c r="A5" s="363"/>
      <c r="B5" s="363" t="s">
        <v>32</v>
      </c>
      <c r="C5" s="363" t="s">
        <v>27</v>
      </c>
      <c r="D5" s="363" t="s">
        <v>28</v>
      </c>
      <c r="E5" s="363" t="s">
        <v>30</v>
      </c>
    </row>
    <row r="6" spans="1:7" ht="17.25" customHeight="1" thickBot="1" x14ac:dyDescent="0.3">
      <c r="A6" s="360"/>
      <c r="B6" s="360"/>
      <c r="C6" s="360"/>
      <c r="D6" s="360"/>
      <c r="E6" s="360"/>
    </row>
    <row r="7" spans="1:7" ht="21.75" customHeight="1" thickTop="1" thickBot="1" x14ac:dyDescent="0.3">
      <c r="A7" s="14" t="s">
        <v>160</v>
      </c>
      <c r="B7" s="220">
        <f>SUMIF(HK!A:A,"251*",HK!C:C)-SUMIF(HK!A:A,"251*",HK!D:D)</f>
        <v>0</v>
      </c>
      <c r="C7" s="183"/>
      <c r="D7" s="183"/>
      <c r="E7" s="255">
        <f>SUMIF(HK!A:A,"251*",HK!K:K)-SUMIF(HK!A:A,"251*",HK!L:L)</f>
        <v>0</v>
      </c>
      <c r="F7" s="256"/>
      <c r="G7" s="252"/>
    </row>
    <row r="8" spans="1:7" ht="21.75" customHeight="1" thickBot="1" x14ac:dyDescent="0.3">
      <c r="A8" s="14" t="s">
        <v>161</v>
      </c>
      <c r="B8" s="220">
        <f>SUMIF(HK!A:A,"253*",HK!C:C)-SUMIF(HK!A:A,"253*",HK!D:D)</f>
        <v>0</v>
      </c>
      <c r="C8" s="183"/>
      <c r="D8" s="183"/>
      <c r="E8" s="255">
        <f>SUMIF(HK!A:A,"253*",HK!K:K)-SUMIF(HK!A:A,"253*",HK!L:L)</f>
        <v>0</v>
      </c>
      <c r="F8" s="256"/>
      <c r="G8" s="252"/>
    </row>
    <row r="9" spans="1:7" ht="21.75" customHeight="1" thickBot="1" x14ac:dyDescent="0.3">
      <c r="A9" s="14" t="s">
        <v>162</v>
      </c>
      <c r="B9" s="220"/>
      <c r="C9" s="183"/>
      <c r="D9" s="183"/>
      <c r="E9" s="255"/>
      <c r="F9" s="256"/>
      <c r="G9" s="256"/>
    </row>
    <row r="10" spans="1:7" ht="21.75" customHeight="1" thickBot="1" x14ac:dyDescent="0.3">
      <c r="A10" s="14" t="s">
        <v>163</v>
      </c>
      <c r="B10" s="220">
        <f>SUMIF(HK!A:A,"256*",HK!C:C)-SUMIF(HK!A:A,"256*",HK!D:D)</f>
        <v>0</v>
      </c>
      <c r="C10" s="183"/>
      <c r="D10" s="183"/>
      <c r="E10" s="255">
        <f>SUMIF(HK!A:A,"256*",HK!K:K)-SUMIF(HK!A:A,"256*",HK!L:L)</f>
        <v>0</v>
      </c>
      <c r="F10" s="256"/>
      <c r="G10" s="252"/>
    </row>
    <row r="11" spans="1:7" ht="21.75" customHeight="1" thickBot="1" x14ac:dyDescent="0.3">
      <c r="A11" s="14" t="s">
        <v>164</v>
      </c>
      <c r="B11" s="220">
        <f>SUMIF(HK!A:A,"257*",HK!C:C)-SUMIF(HK!A:A,"257*",HK!D:D)</f>
        <v>0</v>
      </c>
      <c r="C11" s="183"/>
      <c r="D11" s="183"/>
      <c r="E11" s="255">
        <f>SUMIF(HK!A:A,"257*",HK!K:K)-SUMIF(HK!A:A,"257*",HK!L:L)</f>
        <v>0</v>
      </c>
      <c r="F11" s="256"/>
      <c r="G11" s="252"/>
    </row>
    <row r="12" spans="1:7" ht="21.75" customHeight="1" thickBot="1" x14ac:dyDescent="0.3">
      <c r="A12" s="14" t="s">
        <v>165</v>
      </c>
      <c r="B12" s="220">
        <f>SUMIF(HK!A:A,"259*",HK!C:C)-SUMIF(HK!A:A,"259*",HK!D:D)</f>
        <v>0</v>
      </c>
      <c r="C12" s="183"/>
      <c r="D12" s="183"/>
      <c r="E12" s="255">
        <f>SUMIF(HK!A:A,"259*",HK!K:K)-SUMIF(HK!A:A,"259*",HK!L:L)</f>
        <v>0</v>
      </c>
      <c r="F12" s="256"/>
      <c r="G12" s="252"/>
    </row>
    <row r="13" spans="1:7" ht="21.75" customHeight="1" thickBot="1" x14ac:dyDescent="0.3">
      <c r="A13" s="24" t="s">
        <v>166</v>
      </c>
      <c r="B13" s="56">
        <f>SUM(B7:B12)</f>
        <v>0</v>
      </c>
      <c r="C13" s="56">
        <f t="shared" ref="C13:E13" si="0">SUM(C7:C12)</f>
        <v>0</v>
      </c>
      <c r="D13" s="56">
        <f t="shared" si="0"/>
        <v>0</v>
      </c>
      <c r="E13" s="58">
        <f t="shared" si="0"/>
        <v>0</v>
      </c>
    </row>
    <row r="14" spans="1:7" ht="15.75" thickTop="1" x14ac:dyDescent="0.25"/>
    <row r="15" spans="1:7" x14ac:dyDescent="0.25">
      <c r="A15" s="321" t="s">
        <v>1481</v>
      </c>
    </row>
  </sheetData>
  <mergeCells count="6">
    <mergeCell ref="A4:A6"/>
    <mergeCell ref="B4:E4"/>
    <mergeCell ref="B5:B6"/>
    <mergeCell ref="C5:C6"/>
    <mergeCell ref="D5:D6"/>
    <mergeCell ref="E5:E6"/>
  </mergeCells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0"/>
  <sheetViews>
    <sheetView showGridLines="0" zoomScaleNormal="100" workbookViewId="0">
      <selection activeCell="I36" sqref="I36"/>
    </sheetView>
  </sheetViews>
  <sheetFormatPr defaultRowHeight="15" x14ac:dyDescent="0.25"/>
  <cols>
    <col min="1" max="1" width="21.42578125" customWidth="1"/>
    <col min="2" max="6" width="13" customWidth="1"/>
  </cols>
  <sheetData>
    <row r="1" spans="1:10" ht="17.25" thickBot="1" x14ac:dyDescent="0.35">
      <c r="A1" s="1" t="s">
        <v>167</v>
      </c>
    </row>
    <row r="2" spans="1:10" ht="55.5" customHeight="1" thickTop="1" thickBot="1" x14ac:dyDescent="0.3">
      <c r="A2" s="57" t="s">
        <v>168</v>
      </c>
      <c r="B2" s="57" t="s">
        <v>169</v>
      </c>
      <c r="C2" s="57" t="s">
        <v>170</v>
      </c>
      <c r="D2" s="57" t="s">
        <v>88</v>
      </c>
      <c r="E2" s="57" t="s">
        <v>457</v>
      </c>
      <c r="F2" s="57" t="s">
        <v>171</v>
      </c>
    </row>
    <row r="3" spans="1:10" ht="23.25" customHeight="1" thickTop="1" thickBot="1" x14ac:dyDescent="0.3">
      <c r="A3" s="66" t="s">
        <v>164</v>
      </c>
      <c r="B3" s="220">
        <f>SUMIF(SUAM!C:C,"059",SUAM!E:E)</f>
        <v>0</v>
      </c>
      <c r="C3" s="261"/>
      <c r="D3" s="261"/>
      <c r="E3" s="261"/>
      <c r="F3" s="262">
        <f>SUMIF(SUA!C:C,"059",SUA!E:E)</f>
        <v>0</v>
      </c>
      <c r="G3" s="256"/>
      <c r="H3" s="252"/>
      <c r="J3" s="161"/>
    </row>
    <row r="4" spans="1:10" ht="23.25" customHeight="1" thickBot="1" x14ac:dyDescent="0.3">
      <c r="A4" s="14" t="s">
        <v>165</v>
      </c>
      <c r="B4" s="220">
        <f>SUMIF(SUAM!C:C,"060",SUAM!E:E)</f>
        <v>0</v>
      </c>
      <c r="C4" s="261"/>
      <c r="D4" s="261"/>
      <c r="E4" s="261"/>
      <c r="F4" s="262">
        <f>SUMIF(SUA!C:C,"060",SUA!E:E)</f>
        <v>0</v>
      </c>
      <c r="G4" s="256"/>
      <c r="H4" s="252"/>
      <c r="J4" s="161"/>
    </row>
    <row r="5" spans="1:10" ht="23.25" customHeight="1" thickBot="1" x14ac:dyDescent="0.3">
      <c r="A5" s="24" t="s">
        <v>166</v>
      </c>
      <c r="B5" s="76">
        <f>SUM(B3:B4)</f>
        <v>0</v>
      </c>
      <c r="C5" s="76">
        <f>SUM(C3:C4)</f>
        <v>0</v>
      </c>
      <c r="D5" s="76">
        <f>SUM(D3:D4)</f>
        <v>0</v>
      </c>
      <c r="E5" s="76">
        <f>SUM(E3:E4)</f>
        <v>0</v>
      </c>
      <c r="F5" s="77">
        <f t="shared" ref="F5" si="0">SUM(B5:E5)</f>
        <v>0</v>
      </c>
    </row>
    <row r="6" spans="1:10" ht="15.75" thickTop="1" x14ac:dyDescent="0.25"/>
    <row r="7" spans="1:10" x14ac:dyDescent="0.25">
      <c r="A7" s="322" t="s">
        <v>1481</v>
      </c>
    </row>
    <row r="10" spans="1:10" x14ac:dyDescent="0.25">
      <c r="B10" s="20"/>
    </row>
  </sheetData>
  <pageMargins left="0.7" right="0.7" top="0.75" bottom="0.75" header="0.3" footer="0.3"/>
  <pageSetup paperSize="9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6"/>
  <sheetViews>
    <sheetView showGridLines="0" zoomScaleNormal="100" workbookViewId="0">
      <selection activeCell="A6" sqref="A6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174</v>
      </c>
    </row>
    <row r="2" spans="1:2" ht="16.5" thickTop="1" thickBot="1" x14ac:dyDescent="0.3">
      <c r="A2" s="70" t="s">
        <v>131</v>
      </c>
      <c r="B2" s="71" t="s">
        <v>36</v>
      </c>
    </row>
    <row r="3" spans="1:2" ht="24" thickTop="1" thickBot="1" x14ac:dyDescent="0.3">
      <c r="A3" s="12" t="s">
        <v>172</v>
      </c>
      <c r="B3" s="72"/>
    </row>
    <row r="4" spans="1:2" ht="23.25" thickBot="1" x14ac:dyDescent="0.3">
      <c r="A4" s="16" t="s">
        <v>173</v>
      </c>
      <c r="B4" s="73"/>
    </row>
    <row r="5" spans="1:2" ht="15.75" thickTop="1" x14ac:dyDescent="0.25"/>
    <row r="6" spans="1:2" x14ac:dyDescent="0.25">
      <c r="A6" s="322" t="s">
        <v>1481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9"/>
  <sheetViews>
    <sheetView showGridLines="0" zoomScaleNormal="100" workbookViewId="0">
      <selection activeCell="B16" sqref="B16"/>
    </sheetView>
  </sheetViews>
  <sheetFormatPr defaultRowHeight="15" x14ac:dyDescent="0.25"/>
  <cols>
    <col min="1" max="1" width="26.140625" customWidth="1"/>
    <col min="2" max="4" width="20.140625" customWidth="1"/>
  </cols>
  <sheetData>
    <row r="1" spans="1:4" ht="17.25" thickBot="1" x14ac:dyDescent="0.35">
      <c r="A1" s="1" t="s">
        <v>175</v>
      </c>
    </row>
    <row r="2" spans="1:4" ht="44.25" customHeight="1" thickTop="1" thickBot="1" x14ac:dyDescent="0.3">
      <c r="A2" s="79" t="s">
        <v>168</v>
      </c>
      <c r="B2" s="37" t="s">
        <v>462</v>
      </c>
      <c r="C2" s="37" t="s">
        <v>463</v>
      </c>
      <c r="D2" s="37" t="s">
        <v>464</v>
      </c>
    </row>
    <row r="3" spans="1:4" ht="16.5" thickTop="1" thickBot="1" x14ac:dyDescent="0.3">
      <c r="A3" s="66" t="s">
        <v>160</v>
      </c>
      <c r="B3" s="74"/>
      <c r="C3" s="74"/>
      <c r="D3" s="75"/>
    </row>
    <row r="4" spans="1:4" ht="15.75" thickBot="1" x14ac:dyDescent="0.3">
      <c r="A4" s="66" t="s">
        <v>161</v>
      </c>
      <c r="B4" s="74"/>
      <c r="C4" s="74"/>
      <c r="D4" s="75"/>
    </row>
    <row r="5" spans="1:4" ht="15.75" thickBot="1" x14ac:dyDescent="0.3">
      <c r="A5" s="66" t="s">
        <v>176</v>
      </c>
      <c r="B5" s="74"/>
      <c r="C5" s="74"/>
      <c r="D5" s="75"/>
    </row>
    <row r="6" spans="1:4" ht="15.75" thickBot="1" x14ac:dyDescent="0.3">
      <c r="A6" s="66" t="s">
        <v>164</v>
      </c>
      <c r="B6" s="74"/>
      <c r="C6" s="74"/>
      <c r="D6" s="75"/>
    </row>
    <row r="7" spans="1:4" ht="26.25" customHeight="1" thickBot="1" x14ac:dyDescent="0.3">
      <c r="A7" s="81" t="s">
        <v>166</v>
      </c>
      <c r="B7" s="80"/>
      <c r="C7" s="80"/>
      <c r="D7" s="73"/>
    </row>
    <row r="8" spans="1:4" ht="15.75" thickTop="1" x14ac:dyDescent="0.25"/>
    <row r="9" spans="1:4" x14ac:dyDescent="0.25">
      <c r="A9" s="322" t="s">
        <v>1481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5"/>
  <sheetViews>
    <sheetView showGridLines="0" zoomScaleNormal="100" workbookViewId="0">
      <selection activeCell="F7" sqref="F7"/>
    </sheetView>
  </sheetViews>
  <sheetFormatPr defaultRowHeight="15" x14ac:dyDescent="0.25"/>
  <cols>
    <col min="1" max="1" width="35.42578125" customWidth="1"/>
    <col min="2" max="3" width="25.5703125" customWidth="1"/>
    <col min="4" max="4" width="22.28515625" customWidth="1"/>
  </cols>
  <sheetData>
    <row r="1" spans="1:6" ht="17.25" thickBot="1" x14ac:dyDescent="0.35">
      <c r="A1" s="1" t="s">
        <v>177</v>
      </c>
    </row>
    <row r="2" spans="1:6" ht="35.25" thickTop="1" thickBot="1" x14ac:dyDescent="0.3">
      <c r="A2" s="79" t="s">
        <v>178</v>
      </c>
      <c r="B2" s="158" t="s">
        <v>2</v>
      </c>
      <c r="C2" s="158" t="s">
        <v>3</v>
      </c>
    </row>
    <row r="3" spans="1:6" ht="24" thickTop="1" thickBot="1" x14ac:dyDescent="0.3">
      <c r="A3" s="164" t="s">
        <v>179</v>
      </c>
      <c r="B3" s="267">
        <f>SUMIF(SUA!C:C,"062*",SUA!F:F)</f>
        <v>0</v>
      </c>
      <c r="C3" s="268">
        <f>SUMIF(SUA!C:C,"062*",SUA!G:G)</f>
        <v>4930.22</v>
      </c>
      <c r="D3" s="256"/>
      <c r="E3" s="269"/>
      <c r="F3" s="256"/>
    </row>
    <row r="4" spans="1:6" ht="16.5" thickTop="1" thickBot="1" x14ac:dyDescent="0.3">
      <c r="A4" s="163"/>
      <c r="B4" s="263"/>
      <c r="C4" s="264"/>
      <c r="D4" s="256"/>
      <c r="E4" s="256"/>
      <c r="F4" s="256"/>
    </row>
    <row r="5" spans="1:6" ht="15.75" thickBot="1" x14ac:dyDescent="0.3">
      <c r="A5" s="166"/>
      <c r="B5" s="265"/>
      <c r="C5" s="266"/>
      <c r="D5" s="256"/>
      <c r="E5" s="256"/>
      <c r="F5" s="256"/>
    </row>
    <row r="6" spans="1:6" ht="24" thickTop="1" thickBot="1" x14ac:dyDescent="0.3">
      <c r="A6" s="164" t="s">
        <v>180</v>
      </c>
      <c r="B6" s="267">
        <f>SUMIF(SUA!C:C,"063*",SUA!F:F)</f>
        <v>4460.41</v>
      </c>
      <c r="C6" s="268">
        <f>SUMIF(SUA!C:C,"063*",SUA!G:G)</f>
        <v>0</v>
      </c>
      <c r="D6" s="256"/>
      <c r="E6" s="269"/>
      <c r="F6" s="256"/>
    </row>
    <row r="7" spans="1:6" ht="16.5" thickTop="1" thickBot="1" x14ac:dyDescent="0.3">
      <c r="A7" s="163" t="s">
        <v>1503</v>
      </c>
      <c r="B7" s="263">
        <v>4376</v>
      </c>
      <c r="C7" s="264"/>
      <c r="D7" s="256"/>
      <c r="E7" s="256" t="s">
        <v>1502</v>
      </c>
      <c r="F7" s="256"/>
    </row>
    <row r="8" spans="1:6" ht="15.75" thickBot="1" x14ac:dyDescent="0.3">
      <c r="A8" s="166" t="s">
        <v>1504</v>
      </c>
      <c r="B8" s="265">
        <v>84</v>
      </c>
      <c r="C8" s="266"/>
      <c r="D8" s="256"/>
      <c r="E8" s="256"/>
      <c r="F8" s="256"/>
    </row>
    <row r="9" spans="1:6" ht="24" customHeight="1" thickTop="1" thickBot="1" x14ac:dyDescent="0.3">
      <c r="A9" s="164" t="s">
        <v>181</v>
      </c>
      <c r="B9" s="267">
        <f>SUMIF(SUA!C:C,"064*",SUA!F:F)</f>
        <v>0</v>
      </c>
      <c r="C9" s="268">
        <f>SUMIF(SUA!C:C,"064*",SUA!G:G)</f>
        <v>0</v>
      </c>
      <c r="D9" s="256"/>
      <c r="E9" s="269"/>
      <c r="F9" s="256"/>
    </row>
    <row r="10" spans="1:6" ht="16.5" thickTop="1" thickBot="1" x14ac:dyDescent="0.3">
      <c r="A10" s="163"/>
      <c r="B10" s="263"/>
      <c r="C10" s="264"/>
      <c r="D10" s="256"/>
      <c r="E10" s="256"/>
      <c r="F10" s="256"/>
    </row>
    <row r="11" spans="1:6" ht="15.75" thickBot="1" x14ac:dyDescent="0.3">
      <c r="A11" s="166"/>
      <c r="B11" s="265"/>
      <c r="C11" s="266"/>
      <c r="D11" s="256"/>
      <c r="E11" s="256"/>
      <c r="F11" s="256"/>
    </row>
    <row r="12" spans="1:6" ht="24" thickTop="1" thickBot="1" x14ac:dyDescent="0.3">
      <c r="A12" s="164" t="s">
        <v>182</v>
      </c>
      <c r="B12" s="267">
        <f>SUMIF(SUA!C:C,"065*",SUA!F:F)</f>
        <v>0</v>
      </c>
      <c r="C12" s="268">
        <f>SUMIF(SUA!C:C,"065*",SUA!G:G)</f>
        <v>0</v>
      </c>
      <c r="D12" s="256"/>
      <c r="E12" s="269"/>
      <c r="F12" s="256"/>
    </row>
    <row r="13" spans="1:6" ht="16.5" thickTop="1" thickBot="1" x14ac:dyDescent="0.3">
      <c r="A13" s="163"/>
      <c r="B13" s="153"/>
      <c r="C13" s="75"/>
    </row>
    <row r="14" spans="1:6" ht="15.75" thickBot="1" x14ac:dyDescent="0.3">
      <c r="A14" s="166"/>
      <c r="B14" s="154"/>
      <c r="C14" s="73"/>
    </row>
    <row r="15" spans="1:6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8"/>
  <sheetViews>
    <sheetView showGridLines="0" zoomScaleNormal="100" workbookViewId="0">
      <selection activeCell="F16" sqref="F16"/>
    </sheetView>
  </sheetViews>
  <sheetFormatPr defaultRowHeight="15" x14ac:dyDescent="0.25"/>
  <cols>
    <col min="1" max="1" width="14.42578125" customWidth="1"/>
    <col min="2" max="7" width="12" customWidth="1"/>
  </cols>
  <sheetData>
    <row r="1" spans="1:7" ht="17.25" thickBot="1" x14ac:dyDescent="0.35">
      <c r="A1" s="1" t="s">
        <v>183</v>
      </c>
    </row>
    <row r="2" spans="1:7" ht="49.5" customHeight="1" thickTop="1" thickBot="1" x14ac:dyDescent="0.3">
      <c r="A2" s="383" t="s">
        <v>1</v>
      </c>
      <c r="B2" s="380" t="s">
        <v>2</v>
      </c>
      <c r="C2" s="381"/>
      <c r="D2" s="382"/>
      <c r="E2" s="361" t="s">
        <v>492</v>
      </c>
      <c r="F2" s="367"/>
      <c r="G2" s="362"/>
    </row>
    <row r="3" spans="1:7" ht="16.5" thickTop="1" thickBot="1" x14ac:dyDescent="0.3">
      <c r="A3" s="384"/>
      <c r="B3" s="380" t="s">
        <v>184</v>
      </c>
      <c r="C3" s="381"/>
      <c r="D3" s="382"/>
      <c r="E3" s="380" t="s">
        <v>184</v>
      </c>
      <c r="F3" s="381"/>
      <c r="G3" s="382"/>
    </row>
    <row r="4" spans="1:7" s="4" customFormat="1" ht="45" customHeight="1" thickTop="1" thickBot="1" x14ac:dyDescent="0.3">
      <c r="A4" s="385"/>
      <c r="B4" s="21" t="s">
        <v>185</v>
      </c>
      <c r="C4" s="21" t="s">
        <v>186</v>
      </c>
      <c r="D4" s="21" t="s">
        <v>187</v>
      </c>
      <c r="E4" s="21" t="s">
        <v>185</v>
      </c>
      <c r="F4" s="21" t="s">
        <v>186</v>
      </c>
      <c r="G4" s="21" t="s">
        <v>187</v>
      </c>
    </row>
    <row r="5" spans="1:7" ht="16.5" thickTop="1" thickBot="1" x14ac:dyDescent="0.3">
      <c r="A5" s="66" t="s">
        <v>188</v>
      </c>
      <c r="B5" s="74">
        <v>25489</v>
      </c>
      <c r="C5" s="74">
        <v>6564</v>
      </c>
      <c r="D5" s="74">
        <v>0</v>
      </c>
      <c r="E5" s="74">
        <v>31577</v>
      </c>
      <c r="F5" s="74">
        <v>46519</v>
      </c>
      <c r="G5" s="75">
        <v>0</v>
      </c>
    </row>
    <row r="6" spans="1:7" ht="15.75" thickBot="1" x14ac:dyDescent="0.3">
      <c r="A6" s="66" t="s">
        <v>189</v>
      </c>
      <c r="B6" s="334">
        <v>5340</v>
      </c>
      <c r="C6" s="334">
        <v>2104</v>
      </c>
      <c r="D6" s="74">
        <v>0</v>
      </c>
      <c r="E6" s="74">
        <v>6953</v>
      </c>
      <c r="F6" s="74">
        <v>7444</v>
      </c>
      <c r="G6" s="75">
        <v>0</v>
      </c>
    </row>
    <row r="7" spans="1:7" ht="15.75" thickBot="1" x14ac:dyDescent="0.3">
      <c r="A7" s="67" t="s">
        <v>14</v>
      </c>
      <c r="B7" s="80">
        <f>B5+B6</f>
        <v>30829</v>
      </c>
      <c r="C7" s="80">
        <f t="shared" ref="C7:G7" si="0">C5+C6</f>
        <v>8668</v>
      </c>
      <c r="D7" s="80">
        <f t="shared" si="0"/>
        <v>0</v>
      </c>
      <c r="E7" s="80">
        <f t="shared" si="0"/>
        <v>38530</v>
      </c>
      <c r="F7" s="80">
        <f t="shared" si="0"/>
        <v>53963</v>
      </c>
      <c r="G7" s="73">
        <f t="shared" si="0"/>
        <v>0</v>
      </c>
    </row>
    <row r="8" spans="1:7" ht="15.75" thickTop="1" x14ac:dyDescent="0.25"/>
  </sheetData>
  <mergeCells count="5">
    <mergeCell ref="B2:D2"/>
    <mergeCell ref="E2:G2"/>
    <mergeCell ref="B3:D3"/>
    <mergeCell ref="E3:G3"/>
    <mergeCell ref="A2:A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</sheetPr>
  <dimension ref="A1:G12"/>
  <sheetViews>
    <sheetView showGridLines="0" zoomScaleNormal="100" workbookViewId="0">
      <selection activeCell="B8" sqref="B8"/>
    </sheetView>
  </sheetViews>
  <sheetFormatPr defaultRowHeight="15" x14ac:dyDescent="0.25"/>
  <cols>
    <col min="1" max="1" width="29.140625" customWidth="1"/>
    <col min="2" max="3" width="15.42578125" customWidth="1"/>
    <col min="4" max="5" width="12.85546875" customWidth="1"/>
    <col min="6" max="6" width="12.140625" customWidth="1"/>
  </cols>
  <sheetData>
    <row r="1" spans="1:7" ht="16.5" x14ac:dyDescent="0.3">
      <c r="A1" s="1" t="s">
        <v>7</v>
      </c>
    </row>
    <row r="2" spans="1:7" ht="17.25" thickBot="1" x14ac:dyDescent="0.35">
      <c r="A2" s="2" t="s">
        <v>8</v>
      </c>
    </row>
    <row r="3" spans="1:7" ht="43.5" customHeight="1" thickTop="1" thickBot="1" x14ac:dyDescent="0.3">
      <c r="A3" s="359" t="s">
        <v>9</v>
      </c>
      <c r="B3" s="361" t="s">
        <v>10</v>
      </c>
      <c r="C3" s="362"/>
      <c r="D3" s="359" t="s">
        <v>11</v>
      </c>
      <c r="E3" s="359" t="s">
        <v>454</v>
      </c>
      <c r="F3" s="20"/>
      <c r="G3" s="20"/>
    </row>
    <row r="4" spans="1:7" ht="15" customHeight="1" thickTop="1" thickBot="1" x14ac:dyDescent="0.3">
      <c r="A4" s="360"/>
      <c r="B4" s="21" t="s">
        <v>13</v>
      </c>
      <c r="C4" s="21" t="s">
        <v>12</v>
      </c>
      <c r="D4" s="360"/>
      <c r="E4" s="360"/>
      <c r="F4" s="20"/>
      <c r="G4" s="20"/>
    </row>
    <row r="5" spans="1:7" ht="16.5" thickTop="1" thickBot="1" x14ac:dyDescent="0.3">
      <c r="A5" s="14" t="s">
        <v>1478</v>
      </c>
      <c r="B5" s="319">
        <v>36514</v>
      </c>
      <c r="C5" s="320">
        <v>0.35499999999999998</v>
      </c>
      <c r="D5" s="320">
        <v>0.35499999999999998</v>
      </c>
      <c r="E5" s="23"/>
      <c r="F5" s="20"/>
      <c r="G5" s="20"/>
    </row>
    <row r="6" spans="1:7" ht="15.75" thickBot="1" x14ac:dyDescent="0.3">
      <c r="A6" s="14" t="s">
        <v>1479</v>
      </c>
      <c r="B6" s="319">
        <v>33194</v>
      </c>
      <c r="C6" s="320">
        <v>0.32250000000000001</v>
      </c>
      <c r="D6" s="320">
        <v>0.32250000000000001</v>
      </c>
      <c r="E6" s="23"/>
      <c r="F6" s="20"/>
      <c r="G6" s="20"/>
    </row>
    <row r="7" spans="1:7" ht="15.75" thickBot="1" x14ac:dyDescent="0.3">
      <c r="A7" s="14" t="s">
        <v>1480</v>
      </c>
      <c r="B7" s="319">
        <v>33194</v>
      </c>
      <c r="C7" s="320">
        <v>0.32250000000000001</v>
      </c>
      <c r="D7" s="320">
        <v>0.32250000000000001</v>
      </c>
      <c r="E7" s="23"/>
      <c r="F7" s="20"/>
      <c r="G7" s="20"/>
    </row>
    <row r="8" spans="1:7" ht="15.75" thickBot="1" x14ac:dyDescent="0.3">
      <c r="A8" s="14"/>
      <c r="B8" s="22"/>
      <c r="C8" s="320"/>
      <c r="D8" s="320"/>
      <c r="E8" s="23"/>
      <c r="F8" s="20"/>
      <c r="G8" s="20"/>
    </row>
    <row r="9" spans="1:7" ht="15.75" thickBot="1" x14ac:dyDescent="0.3">
      <c r="A9" s="14"/>
      <c r="B9" s="22"/>
      <c r="C9" s="320"/>
      <c r="D9" s="320"/>
      <c r="E9" s="23"/>
      <c r="F9" s="20"/>
      <c r="G9" s="20"/>
    </row>
    <row r="10" spans="1:7" ht="15.75" thickBot="1" x14ac:dyDescent="0.3">
      <c r="A10" s="24" t="s">
        <v>14</v>
      </c>
      <c r="B10" s="339">
        <f>SUM(B5:B9)</f>
        <v>102902</v>
      </c>
      <c r="C10" s="26">
        <f>SUM(C5:C9)</f>
        <v>1</v>
      </c>
      <c r="D10" s="27">
        <f t="shared" ref="D10:E10" si="0">SUM(D5:D9)</f>
        <v>1</v>
      </c>
      <c r="E10" s="28">
        <f t="shared" si="0"/>
        <v>0</v>
      </c>
      <c r="F10" s="20"/>
      <c r="G10" s="20"/>
    </row>
    <row r="11" spans="1:7" ht="15.75" thickTop="1" x14ac:dyDescent="0.25">
      <c r="A11" s="20"/>
      <c r="B11" s="20"/>
      <c r="C11" s="20"/>
      <c r="D11" s="20"/>
      <c r="E11" s="20"/>
      <c r="F11" s="20"/>
      <c r="G11" s="20"/>
    </row>
    <row r="12" spans="1:7" x14ac:dyDescent="0.25">
      <c r="A12" s="36"/>
      <c r="B12" s="36"/>
      <c r="C12" s="36"/>
      <c r="D12" s="36"/>
      <c r="E12" s="36"/>
      <c r="F12" s="36"/>
      <c r="G12" s="36"/>
    </row>
  </sheetData>
  <mergeCells count="4">
    <mergeCell ref="A3:A4"/>
    <mergeCell ref="B3:C3"/>
    <mergeCell ref="D3:D4"/>
    <mergeCell ref="E3:E4"/>
  </mergeCells>
  <pageMargins left="0.7" right="0.7" top="0.75" bottom="0.75" header="0.3" footer="0.3"/>
  <pageSetup paperSize="9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7"/>
  <sheetViews>
    <sheetView showGridLines="0" zoomScaleNormal="100" workbookViewId="0">
      <selection activeCell="F13" sqref="F13"/>
    </sheetView>
  </sheetViews>
  <sheetFormatPr defaultRowHeight="15" x14ac:dyDescent="0.25"/>
  <cols>
    <col min="1" max="1" width="41" customWidth="1"/>
    <col min="2" max="2" width="45.42578125" customWidth="1"/>
    <col min="3" max="3" width="15.7109375" customWidth="1"/>
    <col min="4" max="4" width="14.140625" customWidth="1"/>
    <col min="5" max="5" width="14.42578125" customWidth="1"/>
    <col min="6" max="6" width="15.5703125" customWidth="1"/>
    <col min="7" max="7" width="11.42578125" customWidth="1"/>
  </cols>
  <sheetData>
    <row r="1" spans="1:6" ht="49.5" x14ac:dyDescent="0.3">
      <c r="A1" s="156" t="s">
        <v>190</v>
      </c>
    </row>
    <row r="2" spans="1:6" ht="15.75" thickBot="1" x14ac:dyDescent="0.3">
      <c r="A2" s="20" t="s">
        <v>8</v>
      </c>
      <c r="B2" s="20"/>
    </row>
    <row r="3" spans="1:6" ht="18.75" customHeight="1" thickTop="1" thickBot="1" x14ac:dyDescent="0.3">
      <c r="A3" s="79" t="s">
        <v>131</v>
      </c>
      <c r="B3" s="49" t="s">
        <v>3</v>
      </c>
    </row>
    <row r="4" spans="1:6" ht="18.75" customHeight="1" thickTop="1" thickBot="1" x14ac:dyDescent="0.3">
      <c r="A4" s="67" t="s">
        <v>191</v>
      </c>
      <c r="B4" s="341">
        <f>IF(SUMIF(SUP!C:C,"087",SUP!E:E)&gt; 0,SUMIF(SUP!C:C,"087",SUP!E:E), 0)</f>
        <v>64528.77</v>
      </c>
      <c r="C4" s="254"/>
      <c r="D4" s="248"/>
      <c r="E4" s="254"/>
      <c r="F4" s="254"/>
    </row>
    <row r="5" spans="1:6" ht="18.75" customHeight="1" thickTop="1" thickBot="1" x14ac:dyDescent="0.3">
      <c r="A5" s="67" t="s">
        <v>192</v>
      </c>
      <c r="B5" s="270" t="s">
        <v>2</v>
      </c>
      <c r="C5" s="254"/>
      <c r="D5" s="254"/>
      <c r="E5" s="254"/>
      <c r="F5" s="254"/>
    </row>
    <row r="6" spans="1:6" ht="18.75" customHeight="1" thickTop="1" thickBot="1" x14ac:dyDescent="0.3">
      <c r="A6" s="66" t="s">
        <v>193</v>
      </c>
      <c r="B6" s="271"/>
      <c r="C6" s="254"/>
      <c r="D6" s="254"/>
      <c r="E6" s="254"/>
      <c r="F6" s="254"/>
    </row>
    <row r="7" spans="1:6" ht="18.75" customHeight="1" thickBot="1" x14ac:dyDescent="0.3">
      <c r="A7" s="66" t="s">
        <v>194</v>
      </c>
      <c r="B7" s="271"/>
      <c r="C7" s="254"/>
      <c r="D7" s="254"/>
      <c r="E7" s="254"/>
      <c r="F7" s="254"/>
    </row>
    <row r="8" spans="1:6" ht="18.75" customHeight="1" thickBot="1" x14ac:dyDescent="0.3">
      <c r="A8" s="66" t="s">
        <v>195</v>
      </c>
      <c r="B8" s="271"/>
      <c r="C8" s="254"/>
      <c r="D8" s="254"/>
      <c r="E8" s="254"/>
      <c r="F8" s="254"/>
    </row>
    <row r="9" spans="1:6" ht="18.75" customHeight="1" thickBot="1" x14ac:dyDescent="0.3">
      <c r="A9" s="66" t="s">
        <v>196</v>
      </c>
      <c r="B9" s="271"/>
      <c r="C9" s="254"/>
      <c r="D9" s="254"/>
      <c r="E9" s="254"/>
      <c r="F9" s="254"/>
    </row>
    <row r="10" spans="1:6" ht="18.75" customHeight="1" thickBot="1" x14ac:dyDescent="0.3">
      <c r="A10" s="66" t="s">
        <v>197</v>
      </c>
      <c r="B10" s="271"/>
      <c r="C10" s="254"/>
      <c r="D10" s="254"/>
      <c r="E10" s="254"/>
      <c r="F10" s="254"/>
    </row>
    <row r="11" spans="1:6" ht="18.75" customHeight="1" thickBot="1" x14ac:dyDescent="0.3">
      <c r="A11" s="66" t="s">
        <v>198</v>
      </c>
      <c r="B11" s="271">
        <v>64528.77</v>
      </c>
      <c r="C11" s="254"/>
      <c r="D11" s="254"/>
      <c r="E11" s="254"/>
      <c r="F11" s="254"/>
    </row>
    <row r="12" spans="1:6" ht="18.75" customHeight="1" thickBot="1" x14ac:dyDescent="0.3">
      <c r="A12" s="66" t="s">
        <v>199</v>
      </c>
      <c r="B12" s="271"/>
      <c r="C12" s="254"/>
      <c r="D12" s="254"/>
      <c r="E12" s="254"/>
      <c r="F12" s="254"/>
    </row>
    <row r="13" spans="1:6" ht="18.75" customHeight="1" thickBot="1" x14ac:dyDescent="0.3">
      <c r="A13" s="66" t="s">
        <v>200</v>
      </c>
      <c r="B13" s="271"/>
      <c r="C13" s="254"/>
      <c r="D13" s="254"/>
      <c r="E13" s="254"/>
      <c r="F13" s="254"/>
    </row>
    <row r="14" spans="1:6" ht="18.75" customHeight="1" thickBot="1" x14ac:dyDescent="0.3">
      <c r="A14" s="67" t="s">
        <v>14</v>
      </c>
      <c r="B14" s="272">
        <f>SUM(B6:B13)</f>
        <v>64528.77</v>
      </c>
      <c r="C14" s="254"/>
      <c r="D14" s="254"/>
      <c r="E14" s="254"/>
      <c r="F14" s="254"/>
    </row>
    <row r="15" spans="1:6" ht="18.75" customHeight="1" thickTop="1" x14ac:dyDescent="0.25">
      <c r="A15" s="20"/>
      <c r="B15" s="233"/>
      <c r="C15" s="254"/>
      <c r="D15" s="254"/>
      <c r="E15" s="254"/>
      <c r="F15" s="254"/>
    </row>
    <row r="16" spans="1:6" ht="18.75" customHeight="1" thickBot="1" x14ac:dyDescent="0.3">
      <c r="A16" s="20" t="s">
        <v>15</v>
      </c>
      <c r="B16" s="233"/>
      <c r="C16" s="254"/>
      <c r="D16" s="254"/>
      <c r="E16" s="254"/>
      <c r="F16" s="254"/>
    </row>
    <row r="17" spans="1:6" ht="18.75" customHeight="1" thickTop="1" thickBot="1" x14ac:dyDescent="0.3">
      <c r="A17" s="79" t="s">
        <v>131</v>
      </c>
      <c r="B17" s="273" t="s">
        <v>3</v>
      </c>
      <c r="C17" s="254"/>
      <c r="D17" s="254"/>
      <c r="E17" s="254"/>
      <c r="F17" s="254"/>
    </row>
    <row r="18" spans="1:6" ht="18.75" customHeight="1" thickTop="1" thickBot="1" x14ac:dyDescent="0.3">
      <c r="A18" s="67" t="s">
        <v>201</v>
      </c>
      <c r="B18" s="274">
        <f>IF(SUMIF(SUP!C:C,"087",SUP!E:E)&gt; 0,0,SUMIF(SUP!C:C,"087",SUP!E:E))</f>
        <v>0</v>
      </c>
      <c r="C18" s="254"/>
      <c r="D18" s="248"/>
      <c r="E18" s="254"/>
      <c r="F18" s="254"/>
    </row>
    <row r="19" spans="1:6" ht="18.75" customHeight="1" thickTop="1" thickBot="1" x14ac:dyDescent="0.3">
      <c r="A19" s="67" t="s">
        <v>202</v>
      </c>
      <c r="B19" s="270" t="s">
        <v>2</v>
      </c>
      <c r="C19" s="254"/>
      <c r="D19" s="254"/>
      <c r="E19" s="254"/>
      <c r="F19" s="254"/>
    </row>
    <row r="20" spans="1:6" ht="18.75" customHeight="1" thickTop="1" thickBot="1" x14ac:dyDescent="0.3">
      <c r="A20" s="66" t="s">
        <v>203</v>
      </c>
      <c r="B20" s="271"/>
      <c r="C20" s="254"/>
      <c r="D20" s="254"/>
      <c r="E20" s="254"/>
      <c r="F20" s="254"/>
    </row>
    <row r="21" spans="1:6" ht="18.75" customHeight="1" thickBot="1" x14ac:dyDescent="0.3">
      <c r="A21" s="66" t="s">
        <v>204</v>
      </c>
      <c r="B21" s="75"/>
    </row>
    <row r="22" spans="1:6" ht="18.75" customHeight="1" thickBot="1" x14ac:dyDescent="0.3">
      <c r="A22" s="66" t="s">
        <v>205</v>
      </c>
      <c r="B22" s="75"/>
    </row>
    <row r="23" spans="1:6" ht="18.75" customHeight="1" thickBot="1" x14ac:dyDescent="0.3">
      <c r="A23" s="66" t="s">
        <v>206</v>
      </c>
      <c r="B23" s="75"/>
    </row>
    <row r="24" spans="1:6" ht="18.75" customHeight="1" thickBot="1" x14ac:dyDescent="0.3">
      <c r="A24" s="66" t="s">
        <v>207</v>
      </c>
      <c r="B24" s="75"/>
    </row>
    <row r="25" spans="1:6" ht="18.75" customHeight="1" thickBot="1" x14ac:dyDescent="0.3">
      <c r="A25" s="66" t="s">
        <v>200</v>
      </c>
      <c r="B25" s="75"/>
    </row>
    <row r="26" spans="1:6" ht="18.75" customHeight="1" thickBot="1" x14ac:dyDescent="0.3">
      <c r="A26" s="67" t="s">
        <v>208</v>
      </c>
      <c r="B26" s="73">
        <f>SUM(B20:B25)</f>
        <v>0</v>
      </c>
    </row>
    <row r="27" spans="1:6" ht="17.25" thickTop="1" x14ac:dyDescent="0.3">
      <c r="A27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J47"/>
  <sheetViews>
    <sheetView showGridLines="0" topLeftCell="A19" workbookViewId="0">
      <selection activeCell="I21" sqref="I21"/>
    </sheetView>
  </sheetViews>
  <sheetFormatPr defaultRowHeight="11.25" x14ac:dyDescent="0.25"/>
  <cols>
    <col min="1" max="1" width="28.42578125" style="20" customWidth="1"/>
    <col min="2" max="4" width="11.5703125" style="20" customWidth="1"/>
    <col min="5" max="5" width="9.140625" style="20" customWidth="1"/>
    <col min="6" max="6" width="17.85546875" style="20" bestFit="1" customWidth="1"/>
    <col min="7" max="16384" width="9.140625" style="20"/>
  </cols>
  <sheetData>
    <row r="2" spans="1:9" ht="12" thickBot="1" x14ac:dyDescent="0.3"/>
    <row r="3" spans="1:9" ht="13.5" customHeight="1" thickTop="1" thickBot="1" x14ac:dyDescent="0.3">
      <c r="A3" s="389" t="s">
        <v>465</v>
      </c>
      <c r="B3" s="386" t="s">
        <v>2</v>
      </c>
      <c r="C3" s="387"/>
      <c r="D3" s="387"/>
      <c r="E3" s="387"/>
      <c r="F3" s="388"/>
    </row>
    <row r="4" spans="1:9" ht="45.75" thickBot="1" x14ac:dyDescent="0.3">
      <c r="A4" s="390"/>
      <c r="B4" s="85" t="s">
        <v>472</v>
      </c>
      <c r="C4" s="85" t="s">
        <v>27</v>
      </c>
      <c r="D4" s="85" t="s">
        <v>28</v>
      </c>
      <c r="E4" s="85" t="s">
        <v>29</v>
      </c>
      <c r="F4" s="21" t="s">
        <v>392</v>
      </c>
    </row>
    <row r="5" spans="1:9" ht="12.75" thickTop="1" thickBot="1" x14ac:dyDescent="0.3">
      <c r="A5" s="163" t="s">
        <v>393</v>
      </c>
      <c r="B5" s="257">
        <f>SUMIF(HK!A:A,"411*",HK!D:D)-SUMIF(HK!A:A,"411*",HK!C:C)</f>
        <v>102902</v>
      </c>
      <c r="C5" s="275"/>
      <c r="D5" s="275"/>
      <c r="E5" s="275"/>
      <c r="F5" s="278">
        <f>SUMIF(HK!A:A,"411*",HK!L:L)-SUMIF(HK!A:A,"411*",HK!K:K)</f>
        <v>102902</v>
      </c>
      <c r="G5" s="242"/>
      <c r="H5" s="252"/>
      <c r="I5" s="242"/>
    </row>
    <row r="6" spans="1:9" ht="23.25" thickBot="1" x14ac:dyDescent="0.3">
      <c r="A6" s="163" t="s">
        <v>394</v>
      </c>
      <c r="B6" s="279">
        <f>SUMIF(HKM!A:A,"252*",HKM!C:C)-SUMIF(HKM!A:A,"252*",HKM!D:D)</f>
        <v>0</v>
      </c>
      <c r="C6" s="276"/>
      <c r="D6" s="276"/>
      <c r="E6" s="276"/>
      <c r="F6" s="280">
        <f>SUMIF(HK!A:A,"252*",HK!K:K)-SUMIF(HK!A:A,"252*",HK!L:L)</f>
        <v>0</v>
      </c>
      <c r="G6" s="242"/>
      <c r="H6" s="252"/>
      <c r="I6" s="242"/>
    </row>
    <row r="7" spans="1:9" ht="12" thickBot="1" x14ac:dyDescent="0.3">
      <c r="A7" s="163" t="s">
        <v>466</v>
      </c>
      <c r="B7" s="279">
        <f>SUMIF(HK!A:A,"419*",HK!D:D)-SUMIF(HK!A:A,"419*",HK!C:C)</f>
        <v>0</v>
      </c>
      <c r="C7" s="276"/>
      <c r="D7" s="276"/>
      <c r="E7" s="276"/>
      <c r="F7" s="280">
        <f>SUMIF(HK!A:A,"419*",HK!L:L)-SUMIF(HK!A:A,"419*",HK!K:K)</f>
        <v>0</v>
      </c>
      <c r="G7" s="242"/>
      <c r="H7" s="252"/>
      <c r="I7" s="242"/>
    </row>
    <row r="8" spans="1:9" ht="12" thickBot="1" x14ac:dyDescent="0.3">
      <c r="A8" s="163" t="s">
        <v>467</v>
      </c>
      <c r="B8" s="279">
        <f>SUMIF(HKM!A:A,"353*",HKM!C:C)-SUMIF(HKM!A:A,"353*",HKM!D:D)</f>
        <v>0</v>
      </c>
      <c r="C8" s="276"/>
      <c r="D8" s="276"/>
      <c r="E8" s="276"/>
      <c r="F8" s="280">
        <f>SUMIF(HK!A:A,"353*",HK!K:K)-SUMIF(HK!A:A,"353*",HK!L:L)</f>
        <v>0</v>
      </c>
      <c r="G8" s="242"/>
      <c r="H8" s="252"/>
      <c r="I8" s="242"/>
    </row>
    <row r="9" spans="1:9" ht="12" thickBot="1" x14ac:dyDescent="0.3">
      <c r="A9" s="163" t="s">
        <v>395</v>
      </c>
      <c r="B9" s="279">
        <f>SUMIF(HK!A:A,"412*",HK!D:D)-SUMIF(HK!A:A,"412*",HK!C:C)</f>
        <v>0</v>
      </c>
      <c r="C9" s="276"/>
      <c r="D9" s="276"/>
      <c r="E9" s="276"/>
      <c r="F9" s="280">
        <f>SUMIF(HK!A:A,"412*",HK!L:L)-SUMIF(HK!A:A,"412*",HK!K:K)</f>
        <v>0</v>
      </c>
      <c r="G9" s="242"/>
      <c r="H9" s="252"/>
      <c r="I9" s="242"/>
    </row>
    <row r="10" spans="1:9" ht="12" thickBot="1" x14ac:dyDescent="0.3">
      <c r="A10" s="163" t="s">
        <v>396</v>
      </c>
      <c r="B10" s="279">
        <f>SUMIF(HK!A:A,"413*",HK!D:D)-SUMIF(HK!A:A,"413*",HK!C:C)</f>
        <v>0</v>
      </c>
      <c r="C10" s="276"/>
      <c r="D10" s="276"/>
      <c r="E10" s="276"/>
      <c r="F10" s="280">
        <f>SUMIF(HK!A:A,"413*",HK!L:L)-SUMIF(HK!A:A,"413*",HK!K:K)</f>
        <v>0</v>
      </c>
      <c r="G10" s="242"/>
      <c r="H10" s="252"/>
      <c r="I10" s="242"/>
    </row>
    <row r="11" spans="1:9" ht="23.25" thickBot="1" x14ac:dyDescent="0.3">
      <c r="A11" s="163" t="s">
        <v>397</v>
      </c>
      <c r="B11" s="279">
        <f>SUMIF(HK!A:A,"417*",HK!D:D)-SUMIF(HK!A:A,"417*",HK!C:C)</f>
        <v>0</v>
      </c>
      <c r="C11" s="276"/>
      <c r="D11" s="276"/>
      <c r="E11" s="276"/>
      <c r="F11" s="280">
        <f>SUMIF(HK!A:A,"417*",HK!L:L)-SUMIF(HK!A:A,"417*",HK!K:K)</f>
        <v>0</v>
      </c>
      <c r="G11" s="242"/>
      <c r="H11" s="252"/>
      <c r="I11" s="242"/>
    </row>
    <row r="12" spans="1:9" ht="23.25" thickBot="1" x14ac:dyDescent="0.3">
      <c r="A12" s="163" t="s">
        <v>515</v>
      </c>
      <c r="B12" s="279">
        <f>SUMIF(HK!A:A,"414*",HK!D:D)-SUMIF(HK!A:A,"414*",HK!C:C)</f>
        <v>0</v>
      </c>
      <c r="C12" s="276"/>
      <c r="D12" s="276"/>
      <c r="E12" s="276"/>
      <c r="F12" s="280">
        <f>SUMIF(HK!A:A,"414*",HK!L:L)-SUMIF(HK!A:A,"414*",HK!K:K)</f>
        <v>0</v>
      </c>
      <c r="G12" s="242"/>
      <c r="H12" s="252"/>
      <c r="I12" s="242"/>
    </row>
    <row r="13" spans="1:9" ht="23.25" thickBot="1" x14ac:dyDescent="0.3">
      <c r="A13" s="163" t="s">
        <v>398</v>
      </c>
      <c r="B13" s="311">
        <f>SUMIF(HK!A:A,"415*",HK!D:D)-SUMIF(HK!A:A,"415*",HK!C:C)</f>
        <v>0</v>
      </c>
      <c r="C13" s="276"/>
      <c r="D13" s="276"/>
      <c r="E13" s="276"/>
      <c r="F13" s="280">
        <f>SUMIF(HK!A:A,"415*",HK!L:L)--SUMIF(HK!A:A,"415*",HK!K:K)</f>
        <v>0</v>
      </c>
      <c r="G13" s="242"/>
      <c r="H13" s="252"/>
      <c r="I13" s="242"/>
    </row>
    <row r="14" spans="1:9" ht="23.25" thickBot="1" x14ac:dyDescent="0.3">
      <c r="A14" s="163" t="s">
        <v>468</v>
      </c>
      <c r="B14" s="279">
        <f>SUMIF(HK!A:A,"416*",HK!D:D)-SUMIF(HK!A:A,"416*",HK!C:C)</f>
        <v>0</v>
      </c>
      <c r="C14" s="276"/>
      <c r="D14" s="276"/>
      <c r="E14" s="276"/>
      <c r="F14" s="280">
        <f>SUMIF(HK!A:A,"416*",HK!L:L)-SUMIF(HK!A:A,"416*",HK!K:K)</f>
        <v>0</v>
      </c>
      <c r="G14" s="242"/>
      <c r="H14" s="252"/>
      <c r="I14" s="242"/>
    </row>
    <row r="15" spans="1:9" ht="12" thickBot="1" x14ac:dyDescent="0.3">
      <c r="A15" s="163" t="s">
        <v>399</v>
      </c>
      <c r="B15" s="279">
        <f>SUMIF(HK!A:A,"421*",HK!D:D)-SUMIF(HK!A:A,"421*",HK!C:C)</f>
        <v>15524.4</v>
      </c>
      <c r="C15" s="276"/>
      <c r="D15" s="276"/>
      <c r="E15" s="276"/>
      <c r="F15" s="280">
        <f>SUMIF(HK!A:A,"421*",HK!L:L)-SUMIF(HK!A:A,"421*",HK!K:K)</f>
        <v>15524.4</v>
      </c>
      <c r="G15" s="242"/>
      <c r="H15" s="252"/>
      <c r="I15" s="242"/>
    </row>
    <row r="16" spans="1:9" ht="12" thickBot="1" x14ac:dyDescent="0.3">
      <c r="A16" s="163" t="s">
        <v>400</v>
      </c>
      <c r="B16" s="279">
        <f>SUMIF(HK!A:A,"422*",HK!D:D)-SUMIF(HK!A:A,"422*",HK!C:C)</f>
        <v>0</v>
      </c>
      <c r="C16" s="276"/>
      <c r="D16" s="276"/>
      <c r="E16" s="276"/>
      <c r="F16" s="280">
        <f>SUMIF(HK!A:A,"422*",HK!L:L)-SUMIF(HK!A:A,"422*",HK!K:K)</f>
        <v>0</v>
      </c>
      <c r="G16" s="242"/>
      <c r="H16" s="252"/>
      <c r="I16" s="242"/>
    </row>
    <row r="17" spans="1:9" ht="12" thickBot="1" x14ac:dyDescent="0.3">
      <c r="A17" s="163" t="s">
        <v>401</v>
      </c>
      <c r="B17" s="279">
        <f>SUMIF(HK!A:A,"423*",HK!D:D)-SUMIF(HK!A:A,"423*",HK!C:C)+SUMIF(HK!A:A,"427*",HK!D:D)-SUMIF(HK!A:A,"427*",HK!C:C)</f>
        <v>0</v>
      </c>
      <c r="C17" s="276"/>
      <c r="D17" s="276"/>
      <c r="E17" s="276"/>
      <c r="F17" s="280">
        <f>SUMIF(HK!A:A,"423*",HK!L:L)-SUMIF(HK!A:A,"423*",HK!K:K)+SUMIF(HK!A:A,"427*",HK!L:L)-SUMIF(HK!A:A,"427*",HK!K:K)</f>
        <v>0</v>
      </c>
      <c r="G17" s="242"/>
      <c r="H17" s="252"/>
      <c r="I17" s="242"/>
    </row>
    <row r="18" spans="1:9" ht="12" thickBot="1" x14ac:dyDescent="0.3">
      <c r="A18" s="163" t="s">
        <v>402</v>
      </c>
      <c r="B18" s="279">
        <f>SUMIF(HK!A:A,"428*",HK!D:D)-SUMIF(HK!A:A,"428*",HK!C:C)</f>
        <v>787255.31</v>
      </c>
      <c r="C18" s="276"/>
      <c r="D18" s="276"/>
      <c r="E18" s="276"/>
      <c r="F18" s="280">
        <f>SUMIF(HK!A:A,"428*",HK!L:L)-SUMIF(HK!A:A,"428*",HK!K:K)</f>
        <v>851784.08</v>
      </c>
      <c r="G18" s="242"/>
      <c r="H18" s="252"/>
      <c r="I18" s="242"/>
    </row>
    <row r="19" spans="1:9" ht="12" thickBot="1" x14ac:dyDescent="0.3">
      <c r="A19" s="163" t="s">
        <v>469</v>
      </c>
      <c r="B19" s="279">
        <f>SUMIF(HK!A:A,"429*",HK!D:D)-SUMIF(HK!A:A,"429*",HK!C:C)</f>
        <v>0</v>
      </c>
      <c r="C19" s="276"/>
      <c r="D19" s="276"/>
      <c r="E19" s="276"/>
      <c r="F19" s="280">
        <f>SUMIF(HK!A:A,"429*",HK!L:L)-SUMIF(HK!A:A,"429*",HK!K:K)</f>
        <v>0</v>
      </c>
      <c r="G19" s="242"/>
      <c r="H19" s="252"/>
      <c r="I19" s="242"/>
    </row>
    <row r="20" spans="1:9" ht="23.25" thickBot="1" x14ac:dyDescent="0.3">
      <c r="A20" s="163" t="s">
        <v>470</v>
      </c>
      <c r="B20" s="311">
        <f>SUMIF(SUP!C:C,"087",SUP!E:E)</f>
        <v>64528.77</v>
      </c>
      <c r="C20" s="276"/>
      <c r="D20" s="276"/>
      <c r="E20" s="276"/>
      <c r="F20" s="285">
        <f>SUMIF(SUP!C:C,"087",SUP!D:D)</f>
        <v>63028.95</v>
      </c>
      <c r="G20" s="242"/>
      <c r="H20" s="252"/>
      <c r="I20" s="242"/>
    </row>
    <row r="21" spans="1:9" ht="22.5" customHeight="1" thickBot="1" x14ac:dyDescent="0.3">
      <c r="A21" s="163" t="s">
        <v>403</v>
      </c>
      <c r="B21" s="281"/>
      <c r="C21" s="276"/>
      <c r="D21" s="276"/>
      <c r="E21" s="276"/>
      <c r="F21" s="282"/>
      <c r="G21" s="242"/>
      <c r="H21" s="242"/>
      <c r="I21" s="242"/>
    </row>
    <row r="22" spans="1:9" ht="12" thickBot="1" x14ac:dyDescent="0.3">
      <c r="A22" s="163" t="s">
        <v>404</v>
      </c>
      <c r="B22" s="279">
        <f>SUMIF(HK!A:A,"418*",HK!D:D)-SUMIF(HK!A:A,"418*",HK!C:C)</f>
        <v>0</v>
      </c>
      <c r="C22" s="276"/>
      <c r="D22" s="276"/>
      <c r="E22" s="276"/>
      <c r="F22" s="280">
        <f>SUMIF(HK!A:A,"418*",HK!L:L)-SUMIF(HK!A:A,"418*",HK!K:K)</f>
        <v>0</v>
      </c>
      <c r="G22" s="242"/>
      <c r="H22" s="252"/>
      <c r="I22" s="242"/>
    </row>
    <row r="23" spans="1:9" ht="23.25" thickBot="1" x14ac:dyDescent="0.3">
      <c r="A23" s="166" t="s">
        <v>471</v>
      </c>
      <c r="B23" s="283">
        <f>SUMIF(HK!A:A,"491*",HK!D:D)-SUMIF(HK!A:A,"491*",HK!C:C)</f>
        <v>0</v>
      </c>
      <c r="C23" s="277"/>
      <c r="D23" s="277"/>
      <c r="E23" s="277"/>
      <c r="F23" s="284">
        <f>SUMIF(HK!A:A,"491*",HK!L:L)-SUMIF(HK!A:A,"491*",HK!K:K)</f>
        <v>0</v>
      </c>
      <c r="G23" s="242"/>
      <c r="H23" s="252"/>
      <c r="I23" s="242"/>
    </row>
    <row r="24" spans="1:9" ht="22.5" customHeight="1" thickTop="1" x14ac:dyDescent="0.25">
      <c r="A24" s="88"/>
      <c r="B24" s="89"/>
      <c r="C24" s="89"/>
      <c r="D24" s="89"/>
      <c r="E24" s="89"/>
      <c r="F24" s="89"/>
    </row>
    <row r="25" spans="1:9" ht="12" thickBot="1" x14ac:dyDescent="0.3"/>
    <row r="26" spans="1:9" ht="13.5" customHeight="1" thickTop="1" thickBot="1" x14ac:dyDescent="0.3">
      <c r="A26" s="389" t="s">
        <v>465</v>
      </c>
      <c r="B26" s="386" t="s">
        <v>3</v>
      </c>
      <c r="C26" s="387"/>
      <c r="D26" s="387"/>
      <c r="E26" s="387"/>
      <c r="F26" s="388"/>
    </row>
    <row r="27" spans="1:9" ht="45.75" thickBot="1" x14ac:dyDescent="0.3">
      <c r="A27" s="390"/>
      <c r="B27" s="85" t="s">
        <v>472</v>
      </c>
      <c r="C27" s="85" t="s">
        <v>27</v>
      </c>
      <c r="D27" s="85" t="s">
        <v>28</v>
      </c>
      <c r="E27" s="85" t="s">
        <v>29</v>
      </c>
      <c r="F27" s="21" t="s">
        <v>392</v>
      </c>
    </row>
    <row r="28" spans="1:9" ht="22.5" customHeight="1" thickTop="1" thickBot="1" x14ac:dyDescent="0.3">
      <c r="A28" s="83" t="s">
        <v>393</v>
      </c>
      <c r="B28" s="257">
        <f>SUMIF(HKM!A:A,"411*",HKM!D:D)-SUMIF(HKM!A:A,"411*",HKM!C:C)</f>
        <v>102902</v>
      </c>
      <c r="C28" s="275"/>
      <c r="D28" s="275"/>
      <c r="E28" s="275"/>
      <c r="F28" s="278">
        <f>SUMIF(HKM!A:A,"411*",HKM!L:L)-SUMIF(HKM!A:A,"411*",HKM!K:K)</f>
        <v>102902</v>
      </c>
      <c r="G28" s="242"/>
      <c r="H28" s="252"/>
    </row>
    <row r="29" spans="1:9" ht="22.5" customHeight="1" thickBot="1" x14ac:dyDescent="0.3">
      <c r="A29" s="83" t="s">
        <v>394</v>
      </c>
      <c r="B29" s="279">
        <f>SUMIF(HKM!A:A,"252*",HKM!C:C)-SUMIF(HKM!A:A,"252*",HKM!D:D)</f>
        <v>0</v>
      </c>
      <c r="C29" s="276"/>
      <c r="D29" s="276"/>
      <c r="E29" s="276"/>
      <c r="F29" s="280">
        <f>SUMIF(HKM!A:A,"252*",HKM!K:K)-SUMIF(HKM!A:A,"252*",HKM!L:L)</f>
        <v>0</v>
      </c>
      <c r="G29" s="242"/>
      <c r="H29" s="252"/>
    </row>
    <row r="30" spans="1:9" ht="22.5" customHeight="1" thickBot="1" x14ac:dyDescent="0.3">
      <c r="A30" s="83" t="s">
        <v>466</v>
      </c>
      <c r="B30" s="279">
        <f>SUMIF(HKM!A:A,"419*",HKM!D:D)-SUMIF(HKM!A:A,"419*",HKM!C:C)</f>
        <v>0</v>
      </c>
      <c r="C30" s="276"/>
      <c r="D30" s="276"/>
      <c r="E30" s="276"/>
      <c r="F30" s="280">
        <f>SUMIF(HKM!A:A,"419*",HKM!L:L)-SUMIF(HKM!A:A,"419*",HKM!K:K)</f>
        <v>0</v>
      </c>
      <c r="G30" s="242"/>
      <c r="H30" s="252"/>
    </row>
    <row r="31" spans="1:9" ht="22.5" customHeight="1" thickBot="1" x14ac:dyDescent="0.3">
      <c r="A31" s="83" t="s">
        <v>467</v>
      </c>
      <c r="B31" s="279">
        <f>SUMIF(HKM!A:A,"353*",HKM!C:C)-SUMIF(HKM!A:A,"353*",HKM!D:D)</f>
        <v>0</v>
      </c>
      <c r="C31" s="276"/>
      <c r="D31" s="276"/>
      <c r="E31" s="276"/>
      <c r="F31" s="280">
        <f>SUMIF(HKM!A:A,"353*",HKM!K:K)-SUMIF(HKM!A:A,"353*",HKM!L:L)</f>
        <v>0</v>
      </c>
      <c r="G31" s="242"/>
      <c r="H31" s="252"/>
    </row>
    <row r="32" spans="1:9" ht="22.5" customHeight="1" thickBot="1" x14ac:dyDescent="0.3">
      <c r="A32" s="83" t="s">
        <v>395</v>
      </c>
      <c r="B32" s="279">
        <f>SUMIF(HKM!A:A,"412*",HKM!D:D)-SUMIF(HKM!A:A,"412*",HKM!C:C)</f>
        <v>0</v>
      </c>
      <c r="C32" s="276"/>
      <c r="D32" s="276"/>
      <c r="E32" s="276"/>
      <c r="F32" s="280">
        <f>SUMIF(HKM!A:A,"412*",HKM!L:L)-SUMIF(HKM!A:A,"412*",HKM!K:K)</f>
        <v>0</v>
      </c>
      <c r="G32" s="242"/>
      <c r="H32" s="252"/>
    </row>
    <row r="33" spans="1:10" ht="22.5" customHeight="1" thickBot="1" x14ac:dyDescent="0.3">
      <c r="A33" s="83" t="s">
        <v>396</v>
      </c>
      <c r="B33" s="311">
        <f>SUMIF(HKM!A:A,"413*",HKM!D:D)-SUMIF(HKM!A:A,"413*",HKM!C:C)</f>
        <v>0</v>
      </c>
      <c r="C33" s="276"/>
      <c r="D33" s="276"/>
      <c r="E33" s="276"/>
      <c r="F33" s="280">
        <f>SUMIF(HKM!A:A,"413*",HKM!L:L)-SUMIF(HKM!A:A,"413*",HKM!K:K)</f>
        <v>0</v>
      </c>
      <c r="G33" s="242"/>
      <c r="H33" s="252"/>
    </row>
    <row r="34" spans="1:10" ht="22.5" customHeight="1" thickBot="1" x14ac:dyDescent="0.3">
      <c r="A34" s="83" t="s">
        <v>397</v>
      </c>
      <c r="B34" s="279">
        <f>SUMIF(HKM!A:A,"417*",HKM!D:D)-SUMIF(HKM!A:A,"417*",HKM!C:C)</f>
        <v>0</v>
      </c>
      <c r="C34" s="276"/>
      <c r="D34" s="276"/>
      <c r="E34" s="276"/>
      <c r="F34" s="280">
        <f>SUMIF(HKM!A:A,"417*",HKM!L:L)-SUMIF(HKM!A:A,"417*",HKM!K:K)</f>
        <v>0</v>
      </c>
      <c r="G34" s="242"/>
      <c r="H34" s="252"/>
    </row>
    <row r="35" spans="1:10" ht="22.5" customHeight="1" thickBot="1" x14ac:dyDescent="0.3">
      <c r="A35" s="163" t="s">
        <v>515</v>
      </c>
      <c r="B35" s="279">
        <f>SUMIF(HKM!A:A,"414*",HKM!D:D)-SUMIF(HKM!A:A,"414*",HKM!C:C)</f>
        <v>0</v>
      </c>
      <c r="C35" s="276"/>
      <c r="D35" s="276"/>
      <c r="E35" s="276"/>
      <c r="F35" s="280">
        <f>SUMIF(HKM!A:A,"414*",HKM!L:L)-SUMIF(HKM!A:A,"414*",HKM!K:K)</f>
        <v>0</v>
      </c>
      <c r="G35" s="242"/>
      <c r="H35" s="252"/>
    </row>
    <row r="36" spans="1:10" ht="22.5" customHeight="1" thickBot="1" x14ac:dyDescent="0.3">
      <c r="A36" s="83" t="s">
        <v>398</v>
      </c>
      <c r="B36" s="311">
        <f>SUMIF(HKM!A:A,"415*",HKM!D:D)-SUMIF(HKM!A:A,"415*",HKM!C:C)</f>
        <v>0</v>
      </c>
      <c r="C36" s="276"/>
      <c r="D36" s="276"/>
      <c r="E36" s="276"/>
      <c r="F36" s="280">
        <f>SUMIF(HKM!A:A,"415*",HKM!L:L)-SUMIF(HKM!A:A,"415*",HKM!K:K)</f>
        <v>0</v>
      </c>
      <c r="G36" s="242"/>
      <c r="H36" s="252"/>
    </row>
    <row r="37" spans="1:10" ht="22.5" customHeight="1" thickBot="1" x14ac:dyDescent="0.3">
      <c r="A37" s="83" t="s">
        <v>468</v>
      </c>
      <c r="B37" s="311">
        <f>SUMIF(HKM!A:A,"416*",HKM!D:D)-SUMIF(HKM!A:A,"416*",HKM!C:C)</f>
        <v>0</v>
      </c>
      <c r="C37" s="276"/>
      <c r="D37" s="276"/>
      <c r="E37" s="276"/>
      <c r="F37" s="280">
        <f>SUMIF(HKM!A:A,"416*",HKM!L:L)-SUMIF(HKM!A:A,"416*",HKM!K:K)</f>
        <v>0</v>
      </c>
      <c r="G37" s="242"/>
      <c r="H37" s="252"/>
    </row>
    <row r="38" spans="1:10" ht="22.5" customHeight="1" thickBot="1" x14ac:dyDescent="0.3">
      <c r="A38" s="83" t="s">
        <v>399</v>
      </c>
      <c r="B38" s="279">
        <f>SUMIF(HKM!A:A,"421*",HKM!D:D)-SUMIF(HKM!A:A,"421*",HKM!C:C)</f>
        <v>15524.4</v>
      </c>
      <c r="C38" s="276"/>
      <c r="D38" s="276"/>
      <c r="E38" s="276"/>
      <c r="F38" s="280">
        <f>SUMIF(HKM!A:A,"421*",HKM!L:L)-SUMIF(HKM!A:A,"421*",HKM!K:K)</f>
        <v>15524.4</v>
      </c>
      <c r="G38" s="242"/>
      <c r="H38" s="252"/>
    </row>
    <row r="39" spans="1:10" ht="22.5" customHeight="1" thickBot="1" x14ac:dyDescent="0.3">
      <c r="A39" s="83" t="s">
        <v>400</v>
      </c>
      <c r="B39" s="279">
        <f>SUMIF(HKM!A:A,"422*",HKM!D:D)-SUMIF(HKM!A:A,"422*",HKM!C:C)</f>
        <v>0</v>
      </c>
      <c r="C39" s="276"/>
      <c r="D39" s="276"/>
      <c r="E39" s="276"/>
      <c r="F39" s="280">
        <f>SUMIF(HKM!A:A,"422*",HKM!L:L)-SUMIF(HKM!A:A,"422*",HKM!K:K)</f>
        <v>0</v>
      </c>
      <c r="G39" s="242"/>
      <c r="H39" s="252"/>
    </row>
    <row r="40" spans="1:10" ht="22.5" customHeight="1" thickBot="1" x14ac:dyDescent="0.3">
      <c r="A40" s="83" t="s">
        <v>401</v>
      </c>
      <c r="B40" s="279">
        <f>SUMIF(HKM!A:A,"423*",HKM!D:D)-SUMIF(HKM!A:A,"423*",HKM!C:C)+SUMIF(HKM!A:A,"427*",HKM!D:D)-SUMIF(HKM!A:A,"427*",HKM!C:C)</f>
        <v>0</v>
      </c>
      <c r="C40" s="276"/>
      <c r="D40" s="276"/>
      <c r="E40" s="276"/>
      <c r="F40" s="285">
        <f>SUMIF(HKM!A:A,"423*",HKM!L:L)-SUMIF(HKM!A:A,"423*",HKM!K:K)+SUMIF(HKM!A:A,"427*",HKM!L:L)-SUMIF(HKM!A:A,"427*",HKM!K:K)</f>
        <v>0</v>
      </c>
      <c r="G40" s="242"/>
      <c r="H40" s="252"/>
      <c r="I40" s="204"/>
    </row>
    <row r="41" spans="1:10" ht="22.5" customHeight="1" thickBot="1" x14ac:dyDescent="0.3">
      <c r="A41" s="83" t="s">
        <v>402</v>
      </c>
      <c r="B41" s="279">
        <f>SUMIF(HKM!A:A,"428*",HKM!D:D)-SUMIF(HKM!A:A,"428*",HKM!C:C)</f>
        <v>691835.23</v>
      </c>
      <c r="C41" s="276"/>
      <c r="D41" s="276"/>
      <c r="E41" s="276"/>
      <c r="F41" s="280">
        <f>SUMIF(HKM!A:A,"428*",HKM!L:L)-SUMIF(HKM!A:A,"428*",HKM!K:K)</f>
        <v>787255.31</v>
      </c>
      <c r="G41" s="242"/>
      <c r="H41" s="252"/>
    </row>
    <row r="42" spans="1:10" ht="22.5" customHeight="1" thickBot="1" x14ac:dyDescent="0.3">
      <c r="A42" s="83" t="s">
        <v>469</v>
      </c>
      <c r="B42" s="279">
        <f>SUMIF(HKM!A:A,"429*",HKM!D:D)-SUMIF(HKM!A:A,"429*",HKM!C:C)</f>
        <v>0</v>
      </c>
      <c r="C42" s="276"/>
      <c r="D42" s="276"/>
      <c r="E42" s="276"/>
      <c r="F42" s="280">
        <f>SUMIF(HKM!A:A,"429*",HKM!L:L)-SUMIF(HKM!A:A,"429*",HKM!K:K)</f>
        <v>0</v>
      </c>
      <c r="G42" s="242"/>
      <c r="H42" s="252"/>
    </row>
    <row r="43" spans="1:10" ht="22.5" customHeight="1" thickBot="1" x14ac:dyDescent="0.3">
      <c r="A43" s="83" t="s">
        <v>470</v>
      </c>
      <c r="B43" s="281">
        <v>95420</v>
      </c>
      <c r="C43" s="276"/>
      <c r="D43" s="276"/>
      <c r="E43" s="276"/>
      <c r="F43" s="282">
        <f>SUMIF(SUPM!C:C,"087",SUPM!D:D)</f>
        <v>64528.77</v>
      </c>
      <c r="G43" s="242"/>
      <c r="H43" s="252"/>
      <c r="J43" s="168"/>
    </row>
    <row r="44" spans="1:10" ht="22.5" customHeight="1" thickBot="1" x14ac:dyDescent="0.3">
      <c r="A44" s="83" t="s">
        <v>403</v>
      </c>
      <c r="B44" s="281"/>
      <c r="C44" s="276"/>
      <c r="D44" s="276"/>
      <c r="E44" s="276"/>
      <c r="F44" s="282"/>
      <c r="G44" s="242"/>
      <c r="H44" s="242"/>
    </row>
    <row r="45" spans="1:10" ht="22.5" customHeight="1" thickBot="1" x14ac:dyDescent="0.3">
      <c r="A45" s="83" t="s">
        <v>404</v>
      </c>
      <c r="B45" s="279">
        <f>SUMIF(HKM!A:A,"418*",HKM!D:D)-SUMIF(HKM!A:A,"418*",HKM!C:C)</f>
        <v>0</v>
      </c>
      <c r="C45" s="276"/>
      <c r="D45" s="276"/>
      <c r="E45" s="276"/>
      <c r="F45" s="280">
        <f>SUMIF(HKM!A:A,"418*",HKM!L:L)-SUMIF(HKM!A:A,"418*",HKM!K:K)</f>
        <v>0</v>
      </c>
      <c r="G45" s="242"/>
      <c r="H45" s="252"/>
    </row>
    <row r="46" spans="1:10" ht="22.5" customHeight="1" thickBot="1" x14ac:dyDescent="0.3">
      <c r="A46" s="84" t="s">
        <v>471</v>
      </c>
      <c r="B46" s="283">
        <f>SUMIF(HKM!A:A,"491*",HKM!D:D)-SUMIF(HKM!A:A,"491*",HKM!C:C)</f>
        <v>0</v>
      </c>
      <c r="C46" s="277"/>
      <c r="D46" s="277"/>
      <c r="E46" s="277"/>
      <c r="F46" s="284">
        <f>SUMIF(HKM!A:A,"491*",HKM!L:L)-SUMIF(HKM!A:A,"491*",HKM!K:K)</f>
        <v>0</v>
      </c>
      <c r="G46" s="242"/>
      <c r="H46" s="252"/>
    </row>
    <row r="47" spans="1:10" ht="12" thickTop="1" x14ac:dyDescent="0.25">
      <c r="B47" s="242"/>
      <c r="C47" s="242"/>
      <c r="D47" s="242"/>
      <c r="E47" s="242"/>
      <c r="F47" s="242"/>
      <c r="G47" s="242"/>
      <c r="H47" s="242"/>
    </row>
  </sheetData>
  <mergeCells count="4">
    <mergeCell ref="B3:F3"/>
    <mergeCell ref="A26:A27"/>
    <mergeCell ref="B26:F26"/>
    <mergeCell ref="A3:A4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8"/>
  <sheetViews>
    <sheetView showGridLines="0" topLeftCell="A7" zoomScaleNormal="100" workbookViewId="0">
      <selection activeCell="J27" sqref="J27"/>
    </sheetView>
  </sheetViews>
  <sheetFormatPr defaultRowHeight="15" x14ac:dyDescent="0.25"/>
  <cols>
    <col min="1" max="1" width="20.7109375" customWidth="1"/>
    <col min="2" max="2" width="16.140625" bestFit="1" customWidth="1"/>
    <col min="3" max="5" width="13.140625" customWidth="1"/>
    <col min="6" max="6" width="16.140625" bestFit="1" customWidth="1"/>
    <col min="7" max="7" width="23.28515625" customWidth="1"/>
  </cols>
  <sheetData>
    <row r="1" spans="1:9" x14ac:dyDescent="0.25">
      <c r="A1" s="90" t="s">
        <v>209</v>
      </c>
      <c r="B1" s="20"/>
      <c r="C1" s="20"/>
      <c r="D1" s="20"/>
      <c r="E1" s="20"/>
      <c r="F1" s="20"/>
    </row>
    <row r="2" spans="1:9" ht="15.75" thickBot="1" x14ac:dyDescent="0.3">
      <c r="A2" s="20" t="s">
        <v>8</v>
      </c>
      <c r="B2" s="20"/>
      <c r="C2" s="20"/>
      <c r="D2" s="20"/>
      <c r="E2" s="20"/>
      <c r="F2" s="20"/>
    </row>
    <row r="3" spans="1:9" ht="16.5" thickTop="1" thickBot="1" x14ac:dyDescent="0.3">
      <c r="A3" s="383" t="s">
        <v>131</v>
      </c>
      <c r="B3" s="380" t="s">
        <v>2</v>
      </c>
      <c r="C3" s="381"/>
      <c r="D3" s="381"/>
      <c r="E3" s="381"/>
      <c r="F3" s="382"/>
    </row>
    <row r="4" spans="1:9" s="4" customFormat="1" ht="33" customHeight="1" thickTop="1" thickBot="1" x14ac:dyDescent="0.3">
      <c r="A4" s="385"/>
      <c r="B4" s="21" t="s">
        <v>32</v>
      </c>
      <c r="C4" s="21" t="s">
        <v>124</v>
      </c>
      <c r="D4" s="93" t="s">
        <v>210</v>
      </c>
      <c r="E4" s="148" t="s">
        <v>211</v>
      </c>
      <c r="F4" s="21" t="s">
        <v>30</v>
      </c>
    </row>
    <row r="5" spans="1:9" ht="21" customHeight="1" thickTop="1" thickBot="1" x14ac:dyDescent="0.3">
      <c r="A5" s="81" t="s">
        <v>212</v>
      </c>
      <c r="B5" s="267">
        <f>SUMIF(HK!A:A,"459*",HK!D:D)-SUMIF(HK!A:A,"459*",HK!C:C)</f>
        <v>0</v>
      </c>
      <c r="C5" s="286">
        <f>SUM(C6:C10)</f>
        <v>0</v>
      </c>
      <c r="D5" s="286">
        <f t="shared" ref="D5:E5" si="0">SUM(D6:D10)</f>
        <v>0</v>
      </c>
      <c r="E5" s="286">
        <f t="shared" si="0"/>
        <v>0</v>
      </c>
      <c r="F5" s="293">
        <f>SUMIF(HK!A:A,"459*",HK!L:L)-SUMIF(HK!A:A,"459*",HK!K:K)</f>
        <v>0</v>
      </c>
      <c r="G5" s="256"/>
      <c r="H5" s="252"/>
      <c r="I5" s="256"/>
    </row>
    <row r="6" spans="1:9" ht="21" customHeight="1" thickTop="1" thickBot="1" x14ac:dyDescent="0.3">
      <c r="A6" s="99"/>
      <c r="B6" s="263"/>
      <c r="C6" s="261"/>
      <c r="D6" s="287"/>
      <c r="E6" s="287"/>
      <c r="F6" s="288">
        <f t="shared" ref="F6:F17" si="1">SUM(B6:E6)</f>
        <v>0</v>
      </c>
      <c r="G6" s="256"/>
      <c r="H6" s="256"/>
      <c r="I6" s="256"/>
    </row>
    <row r="7" spans="1:9" ht="21" customHeight="1" thickBot="1" x14ac:dyDescent="0.3">
      <c r="A7" s="99"/>
      <c r="B7" s="263"/>
      <c r="C7" s="261"/>
      <c r="D7" s="289"/>
      <c r="E7" s="289"/>
      <c r="F7" s="288">
        <f t="shared" si="1"/>
        <v>0</v>
      </c>
      <c r="G7" s="256"/>
      <c r="H7" s="256"/>
      <c r="I7" s="256"/>
    </row>
    <row r="8" spans="1:9" ht="21" customHeight="1" thickBot="1" x14ac:dyDescent="0.3">
      <c r="A8" s="99"/>
      <c r="B8" s="263"/>
      <c r="C8" s="261"/>
      <c r="D8" s="289"/>
      <c r="E8" s="289"/>
      <c r="F8" s="288">
        <f t="shared" si="1"/>
        <v>0</v>
      </c>
      <c r="G8" s="256"/>
      <c r="H8" s="256"/>
      <c r="I8" s="256"/>
    </row>
    <row r="9" spans="1:9" ht="21" customHeight="1" thickBot="1" x14ac:dyDescent="0.3">
      <c r="A9" s="99"/>
      <c r="B9" s="263"/>
      <c r="C9" s="261"/>
      <c r="D9" s="289"/>
      <c r="E9" s="289"/>
      <c r="F9" s="288">
        <f t="shared" si="1"/>
        <v>0</v>
      </c>
      <c r="G9" s="256"/>
      <c r="H9" s="256"/>
      <c r="I9" s="256"/>
    </row>
    <row r="10" spans="1:9" ht="21" customHeight="1" thickBot="1" x14ac:dyDescent="0.3">
      <c r="A10" s="134"/>
      <c r="B10" s="265"/>
      <c r="C10" s="290"/>
      <c r="D10" s="291"/>
      <c r="E10" s="291"/>
      <c r="F10" s="292">
        <f t="shared" si="1"/>
        <v>0</v>
      </c>
      <c r="G10" s="256"/>
      <c r="H10" s="256"/>
      <c r="I10" s="256"/>
    </row>
    <row r="11" spans="1:9" ht="21" customHeight="1" thickTop="1" thickBot="1" x14ac:dyDescent="0.3">
      <c r="A11" s="81" t="s">
        <v>213</v>
      </c>
      <c r="B11" s="294">
        <f>SUMIF(HK!A:A,"323*",HK!D:D)-SUMIF(HK!A:A,"323*",HK!C:C)</f>
        <v>27904.98</v>
      </c>
      <c r="C11" s="299">
        <v>30029</v>
      </c>
      <c r="D11" s="299">
        <v>27905</v>
      </c>
      <c r="E11" s="290">
        <f t="shared" ref="E11" si="2">SUM(E12:E16)</f>
        <v>0</v>
      </c>
      <c r="F11" s="295">
        <f>SUMIF(HK!A:A,"323*",HK!L:L)-SUMIF(HK!A:A,"323*",HK!K:K)</f>
        <v>30028.75</v>
      </c>
      <c r="G11" s="256"/>
      <c r="H11" s="252"/>
      <c r="I11" s="256"/>
    </row>
    <row r="12" spans="1:9" ht="21" customHeight="1" thickTop="1" thickBot="1" x14ac:dyDescent="0.3">
      <c r="A12" s="99" t="s">
        <v>1488</v>
      </c>
      <c r="B12" s="263">
        <v>19354</v>
      </c>
      <c r="C12" s="261">
        <v>21075</v>
      </c>
      <c r="D12" s="287">
        <v>19354</v>
      </c>
      <c r="E12" s="287"/>
      <c r="F12" s="263">
        <v>19354</v>
      </c>
      <c r="G12" s="256"/>
      <c r="H12" s="256"/>
      <c r="I12" s="256"/>
    </row>
    <row r="13" spans="1:9" ht="21" customHeight="1" thickBot="1" x14ac:dyDescent="0.3">
      <c r="A13" s="99" t="s">
        <v>1483</v>
      </c>
      <c r="B13" s="153">
        <v>6798</v>
      </c>
      <c r="C13" s="74">
        <v>7401</v>
      </c>
      <c r="D13" s="110">
        <v>3798</v>
      </c>
      <c r="E13" s="110"/>
      <c r="F13" s="153">
        <v>6798</v>
      </c>
    </row>
    <row r="14" spans="1:9" ht="21" customHeight="1" thickBot="1" x14ac:dyDescent="0.3">
      <c r="A14" s="99" t="s">
        <v>1484</v>
      </c>
      <c r="B14" s="153">
        <v>1328</v>
      </c>
      <c r="C14" s="74">
        <v>1328</v>
      </c>
      <c r="D14" s="110">
        <v>1328</v>
      </c>
      <c r="E14" s="110"/>
      <c r="F14" s="153">
        <v>1328</v>
      </c>
    </row>
    <row r="15" spans="1:9" ht="21" customHeight="1" thickBot="1" x14ac:dyDescent="0.3">
      <c r="A15" s="99" t="s">
        <v>1485</v>
      </c>
      <c r="B15" s="153">
        <v>99</v>
      </c>
      <c r="C15" s="74">
        <v>0</v>
      </c>
      <c r="D15" s="110">
        <v>99</v>
      </c>
      <c r="E15" s="110"/>
      <c r="F15" s="153">
        <v>99</v>
      </c>
    </row>
    <row r="16" spans="1:9" ht="21" customHeight="1" thickBot="1" x14ac:dyDescent="0.3">
      <c r="A16" s="99" t="s">
        <v>1486</v>
      </c>
      <c r="B16" s="153">
        <v>326</v>
      </c>
      <c r="C16" s="74">
        <v>225</v>
      </c>
      <c r="D16" s="110">
        <v>326</v>
      </c>
      <c r="E16" s="110"/>
      <c r="F16" s="153">
        <v>326</v>
      </c>
    </row>
    <row r="17" spans="1:9" ht="21" customHeight="1" thickBot="1" x14ac:dyDescent="0.3">
      <c r="A17" s="134"/>
      <c r="B17" s="169"/>
      <c r="C17" s="76"/>
      <c r="D17" s="132"/>
      <c r="E17" s="132"/>
      <c r="F17" s="133">
        <f t="shared" si="1"/>
        <v>0</v>
      </c>
    </row>
    <row r="18" spans="1:9" ht="15.75" thickTop="1" x14ac:dyDescent="0.25">
      <c r="A18" s="4"/>
      <c r="B18" s="4"/>
      <c r="C18" s="4"/>
      <c r="D18" s="4"/>
      <c r="E18" s="4"/>
      <c r="F18" s="4"/>
    </row>
    <row r="19" spans="1:9" ht="16.5" x14ac:dyDescent="0.3">
      <c r="A19" s="2"/>
    </row>
    <row r="20" spans="1:9" ht="15.75" thickBot="1" x14ac:dyDescent="0.3">
      <c r="A20" s="20" t="s">
        <v>15</v>
      </c>
      <c r="B20" s="20"/>
      <c r="C20" s="20"/>
      <c r="D20" s="20"/>
      <c r="E20" s="20"/>
      <c r="F20" s="20"/>
    </row>
    <row r="21" spans="1:9" ht="16.5" thickTop="1" thickBot="1" x14ac:dyDescent="0.3">
      <c r="A21" s="383" t="s">
        <v>131</v>
      </c>
      <c r="B21" s="380" t="s">
        <v>3</v>
      </c>
      <c r="C21" s="381"/>
      <c r="D21" s="381"/>
      <c r="E21" s="381"/>
      <c r="F21" s="382"/>
    </row>
    <row r="22" spans="1:9" s="4" customFormat="1" ht="24" thickTop="1" thickBot="1" x14ac:dyDescent="0.3">
      <c r="A22" s="385"/>
      <c r="B22" s="21" t="s">
        <v>32</v>
      </c>
      <c r="C22" s="21" t="s">
        <v>124</v>
      </c>
      <c r="D22" s="93" t="s">
        <v>210</v>
      </c>
      <c r="E22" s="148" t="s">
        <v>211</v>
      </c>
      <c r="F22" s="21" t="s">
        <v>30</v>
      </c>
    </row>
    <row r="23" spans="1:9" ht="21" customHeight="1" thickTop="1" thickBot="1" x14ac:dyDescent="0.3">
      <c r="A23" s="134" t="s">
        <v>212</v>
      </c>
      <c r="B23" s="267">
        <f>SUMIF(HKM!A:A,"459*",HKM!D:D)-SUMIF(HKM!A:A,"459*",HKM!C:C)</f>
        <v>0</v>
      </c>
      <c r="C23" s="286">
        <f>SUM(C24:C28)</f>
        <v>0</v>
      </c>
      <c r="D23" s="286">
        <f t="shared" ref="D23:E23" si="3">SUM(D24:D28)</f>
        <v>0</v>
      </c>
      <c r="E23" s="286">
        <f t="shared" si="3"/>
        <v>0</v>
      </c>
      <c r="F23" s="293">
        <f>SUMIF(HKM!A:A,"459*",HKM!L:L)-SUMIF(HKM!A:A,"459*",HKM!K:K)</f>
        <v>0</v>
      </c>
      <c r="G23" s="256"/>
      <c r="H23" s="252"/>
      <c r="I23" s="256"/>
    </row>
    <row r="24" spans="1:9" ht="21" customHeight="1" thickTop="1" thickBot="1" x14ac:dyDescent="0.3">
      <c r="A24" s="99"/>
      <c r="B24" s="263"/>
      <c r="C24" s="261"/>
      <c r="D24" s="287"/>
      <c r="E24" s="287"/>
      <c r="F24" s="288">
        <f t="shared" ref="F24:F35" si="4">SUM(B24:E24)</f>
        <v>0</v>
      </c>
      <c r="G24" s="256"/>
      <c r="H24" s="256"/>
      <c r="I24" s="256"/>
    </row>
    <row r="25" spans="1:9" ht="21" customHeight="1" thickBot="1" x14ac:dyDescent="0.3">
      <c r="A25" s="99"/>
      <c r="B25" s="263"/>
      <c r="C25" s="261"/>
      <c r="D25" s="289"/>
      <c r="E25" s="289"/>
      <c r="F25" s="288">
        <f t="shared" si="4"/>
        <v>0</v>
      </c>
      <c r="G25" s="256"/>
      <c r="H25" s="256"/>
      <c r="I25" s="256"/>
    </row>
    <row r="26" spans="1:9" ht="21" customHeight="1" thickBot="1" x14ac:dyDescent="0.3">
      <c r="A26" s="99"/>
      <c r="B26" s="263"/>
      <c r="C26" s="261"/>
      <c r="D26" s="289"/>
      <c r="E26" s="289"/>
      <c r="F26" s="288">
        <f t="shared" si="4"/>
        <v>0</v>
      </c>
      <c r="G26" s="256"/>
      <c r="H26" s="256"/>
      <c r="I26" s="256"/>
    </row>
    <row r="27" spans="1:9" ht="21" customHeight="1" thickBot="1" x14ac:dyDescent="0.3">
      <c r="A27" s="99"/>
      <c r="B27" s="263"/>
      <c r="C27" s="261"/>
      <c r="D27" s="289"/>
      <c r="E27" s="289"/>
      <c r="F27" s="288">
        <f t="shared" si="4"/>
        <v>0</v>
      </c>
      <c r="G27" s="256"/>
      <c r="H27" s="256"/>
      <c r="I27" s="256"/>
    </row>
    <row r="28" spans="1:9" ht="21" customHeight="1" thickBot="1" x14ac:dyDescent="0.3">
      <c r="A28" s="134"/>
      <c r="B28" s="265"/>
      <c r="C28" s="290"/>
      <c r="D28" s="291"/>
      <c r="E28" s="291"/>
      <c r="F28" s="292">
        <f t="shared" si="4"/>
        <v>0</v>
      </c>
      <c r="G28" s="256"/>
      <c r="H28" s="256"/>
      <c r="I28" s="256"/>
    </row>
    <row r="29" spans="1:9" ht="21" customHeight="1" thickTop="1" thickBot="1" x14ac:dyDescent="0.3">
      <c r="A29" s="134" t="s">
        <v>213</v>
      </c>
      <c r="B29" s="294">
        <f>SUMIF(HKM!A:A,"323*",HKM!D:D)-SUMIF(HKM!A:A,"323*",HKM!C:C)</f>
        <v>21392.48</v>
      </c>
      <c r="C29" s="290">
        <f>SUM(C30:C34)</f>
        <v>27905</v>
      </c>
      <c r="D29" s="290">
        <v>21392</v>
      </c>
      <c r="E29" s="290">
        <f t="shared" ref="E29" si="5">SUM(E30:E34)</f>
        <v>0</v>
      </c>
      <c r="F29" s="295">
        <f>SUMIF(HKM!A:A,"323*",HKM!L:L)-SUMIF(HKM!A:A,"323*",HKM!K:K)</f>
        <v>27904.98</v>
      </c>
      <c r="G29" s="256"/>
      <c r="H29" s="252"/>
      <c r="I29" s="256"/>
    </row>
    <row r="30" spans="1:9" ht="21" customHeight="1" thickTop="1" thickBot="1" x14ac:dyDescent="0.3">
      <c r="A30" s="99" t="s">
        <v>1488</v>
      </c>
      <c r="B30" s="263">
        <v>14678</v>
      </c>
      <c r="C30" s="261">
        <v>19354</v>
      </c>
      <c r="D30" s="287">
        <v>14678</v>
      </c>
      <c r="E30" s="287"/>
      <c r="F30" s="288">
        <f>C30</f>
        <v>19354</v>
      </c>
      <c r="G30" s="256"/>
      <c r="H30" s="256"/>
      <c r="I30" s="256"/>
    </row>
    <row r="31" spans="1:9" ht="21" customHeight="1" thickBot="1" x14ac:dyDescent="0.3">
      <c r="A31" s="99" t="s">
        <v>1483</v>
      </c>
      <c r="B31" s="153">
        <v>5152</v>
      </c>
      <c r="C31" s="74">
        <v>6798</v>
      </c>
      <c r="D31" s="110">
        <v>5152</v>
      </c>
      <c r="E31" s="110"/>
      <c r="F31" s="288">
        <f t="shared" ref="F31:F34" si="6">C31</f>
        <v>6798</v>
      </c>
    </row>
    <row r="32" spans="1:9" ht="21" customHeight="1" thickBot="1" x14ac:dyDescent="0.3">
      <c r="A32" s="99" t="s">
        <v>1484</v>
      </c>
      <c r="B32" s="153">
        <v>1328</v>
      </c>
      <c r="C32" s="74">
        <v>1328</v>
      </c>
      <c r="D32" s="110">
        <v>1328</v>
      </c>
      <c r="E32" s="110"/>
      <c r="F32" s="288">
        <f t="shared" si="6"/>
        <v>1328</v>
      </c>
    </row>
    <row r="33" spans="1:6" ht="21" customHeight="1" thickBot="1" x14ac:dyDescent="0.3">
      <c r="A33" s="99" t="s">
        <v>1485</v>
      </c>
      <c r="B33" s="153">
        <v>100</v>
      </c>
      <c r="C33" s="74">
        <v>99</v>
      </c>
      <c r="D33" s="110">
        <v>100</v>
      </c>
      <c r="E33" s="110"/>
      <c r="F33" s="288">
        <f t="shared" si="6"/>
        <v>99</v>
      </c>
    </row>
    <row r="34" spans="1:6" ht="21" customHeight="1" thickBot="1" x14ac:dyDescent="0.3">
      <c r="A34" s="99" t="s">
        <v>1486</v>
      </c>
      <c r="B34" s="153">
        <v>134</v>
      </c>
      <c r="C34" s="74">
        <v>326</v>
      </c>
      <c r="D34" s="110">
        <v>134</v>
      </c>
      <c r="E34" s="110"/>
      <c r="F34" s="288">
        <f t="shared" si="6"/>
        <v>326</v>
      </c>
    </row>
    <row r="35" spans="1:6" ht="21" customHeight="1" thickBot="1" x14ac:dyDescent="0.3">
      <c r="A35" s="134"/>
      <c r="B35" s="169"/>
      <c r="C35" s="76"/>
      <c r="D35" s="132"/>
      <c r="E35" s="132"/>
      <c r="F35" s="133">
        <f t="shared" si="4"/>
        <v>0</v>
      </c>
    </row>
    <row r="36" spans="1:6" ht="15.75" thickTop="1" x14ac:dyDescent="0.25"/>
    <row r="38" spans="1:6" x14ac:dyDescent="0.25">
      <c r="A38" t="s">
        <v>1487</v>
      </c>
    </row>
  </sheetData>
  <mergeCells count="4">
    <mergeCell ref="B21:F21"/>
    <mergeCell ref="A21:A22"/>
    <mergeCell ref="A3:A4"/>
    <mergeCell ref="B3:F3"/>
  </mergeCells>
  <pageMargins left="0.7" right="0.7" top="0.75" bottom="0.75" header="0.3" footer="0.3"/>
  <pageSetup paperSize="9" orientation="portrait" horizontalDpi="300" verticalDpi="300" r:id="rId1"/>
  <ignoredErrors>
    <ignoredError sqref="F29 F11" formula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9"/>
  <sheetViews>
    <sheetView showGridLines="0" zoomScaleNormal="100" workbookViewId="0">
      <selection activeCell="C5" sqref="C5"/>
    </sheetView>
  </sheetViews>
  <sheetFormatPr defaultRowHeight="15" x14ac:dyDescent="0.25"/>
  <cols>
    <col min="1" max="1" width="32" customWidth="1"/>
    <col min="2" max="3" width="27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 x14ac:dyDescent="0.35">
      <c r="A1" s="1" t="s">
        <v>214</v>
      </c>
    </row>
    <row r="2" spans="1:3" ht="26.25" customHeight="1" thickTop="1" thickBot="1" x14ac:dyDescent="0.3">
      <c r="A2" s="79" t="s">
        <v>131</v>
      </c>
      <c r="B2" s="37" t="s">
        <v>2</v>
      </c>
      <c r="C2" s="37" t="s">
        <v>3</v>
      </c>
    </row>
    <row r="3" spans="1:3" ht="20.25" customHeight="1" thickTop="1" thickBot="1" x14ac:dyDescent="0.3">
      <c r="A3" s="14" t="s">
        <v>215</v>
      </c>
      <c r="B3" s="170">
        <v>226642</v>
      </c>
      <c r="C3" s="171">
        <v>362920</v>
      </c>
    </row>
    <row r="4" spans="1:3" ht="20.25" customHeight="1" thickBot="1" x14ac:dyDescent="0.3">
      <c r="A4" s="14" t="s">
        <v>473</v>
      </c>
      <c r="B4" s="172">
        <v>318656</v>
      </c>
      <c r="C4" s="135">
        <v>147414</v>
      </c>
    </row>
    <row r="5" spans="1:3" ht="20.25" customHeight="1" thickBot="1" x14ac:dyDescent="0.3">
      <c r="A5" s="43" t="s">
        <v>216</v>
      </c>
      <c r="B5" s="172">
        <v>545298</v>
      </c>
      <c r="C5" s="135">
        <v>510334</v>
      </c>
    </row>
    <row r="6" spans="1:3" ht="20.25" customHeight="1" thickBot="1" x14ac:dyDescent="0.3">
      <c r="A6" s="14" t="s">
        <v>217</v>
      </c>
      <c r="B6" s="153"/>
      <c r="C6" s="75"/>
    </row>
    <row r="7" spans="1:3" ht="20.25" customHeight="1" thickBot="1" x14ac:dyDescent="0.3">
      <c r="A7" s="14" t="s">
        <v>218</v>
      </c>
      <c r="B7" s="153"/>
      <c r="C7" s="75"/>
    </row>
    <row r="8" spans="1:3" ht="20.25" customHeight="1" thickBot="1" x14ac:dyDescent="0.3">
      <c r="A8" s="24" t="s">
        <v>219</v>
      </c>
      <c r="B8" s="172"/>
      <c r="C8" s="135"/>
    </row>
    <row r="9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0"/>
  <sheetViews>
    <sheetView showGridLines="0" zoomScaleNormal="100" workbookViewId="0">
      <selection activeCell="C38" sqref="C38"/>
    </sheetView>
  </sheetViews>
  <sheetFormatPr defaultRowHeight="15" x14ac:dyDescent="0.25"/>
  <cols>
    <col min="1" max="1" width="33" customWidth="1"/>
    <col min="2" max="3" width="26.7109375" customWidth="1"/>
    <col min="4" max="4" width="14.140625" customWidth="1"/>
    <col min="5" max="5" width="14.42578125" customWidth="1"/>
    <col min="6" max="7" width="23.28515625" customWidth="1"/>
  </cols>
  <sheetData>
    <row r="1" spans="1:6" ht="17.25" thickBot="1" x14ac:dyDescent="0.35">
      <c r="A1" s="1" t="s">
        <v>478</v>
      </c>
    </row>
    <row r="2" spans="1:6" ht="21.75" customHeight="1" thickTop="1" thickBot="1" x14ac:dyDescent="0.3">
      <c r="A2" s="57" t="s">
        <v>131</v>
      </c>
      <c r="B2" s="37" t="s">
        <v>2</v>
      </c>
      <c r="C2" s="37" t="s">
        <v>3</v>
      </c>
    </row>
    <row r="3" spans="1:6" ht="21.75" customHeight="1" thickTop="1" thickBot="1" x14ac:dyDescent="0.3">
      <c r="A3" s="94" t="s">
        <v>234</v>
      </c>
      <c r="B3" s="297">
        <f>SUMIF(HK!A:A,"472*",HK!D:D)-SUMIF(HK!A:A,"472*",HK!C:C)</f>
        <v>5351.21</v>
      </c>
      <c r="C3" s="262">
        <f>SUMIF(HKM!A:A,"472*",HKM!D:D)-SUMIF(HKM!A:A,"472*",HKM!C:C)</f>
        <v>4587.95</v>
      </c>
      <c r="D3" s="256"/>
      <c r="E3" s="298"/>
      <c r="F3" s="256"/>
    </row>
    <row r="4" spans="1:6" ht="21.75" customHeight="1" thickBot="1" x14ac:dyDescent="0.3">
      <c r="A4" s="66" t="s">
        <v>235</v>
      </c>
      <c r="B4" s="261">
        <v>2083</v>
      </c>
      <c r="C4" s="271">
        <v>2079</v>
      </c>
      <c r="D4" s="256"/>
      <c r="E4" s="256"/>
      <c r="F4" s="256"/>
    </row>
    <row r="5" spans="1:6" ht="21.75" customHeight="1" thickBot="1" x14ac:dyDescent="0.3">
      <c r="A5" s="66" t="s">
        <v>236</v>
      </c>
      <c r="B5" s="261">
        <v>0</v>
      </c>
      <c r="C5" s="271">
        <v>0</v>
      </c>
      <c r="D5" s="256"/>
      <c r="E5" s="256"/>
      <c r="F5" s="256"/>
    </row>
    <row r="6" spans="1:6" ht="21.75" customHeight="1" thickBot="1" x14ac:dyDescent="0.3">
      <c r="A6" s="66" t="s">
        <v>237</v>
      </c>
      <c r="B6" s="261">
        <v>0</v>
      </c>
      <c r="C6" s="271">
        <v>0</v>
      </c>
      <c r="D6" s="256"/>
      <c r="E6" s="256"/>
      <c r="F6" s="256"/>
    </row>
    <row r="7" spans="1:6" ht="21.75" customHeight="1" thickBot="1" x14ac:dyDescent="0.3">
      <c r="A7" s="94" t="s">
        <v>238</v>
      </c>
      <c r="B7" s="261">
        <v>2083</v>
      </c>
      <c r="C7" s="271">
        <v>2079</v>
      </c>
      <c r="D7" s="256"/>
      <c r="E7" s="256"/>
      <c r="F7" s="256"/>
    </row>
    <row r="8" spans="1:6" ht="21.75" customHeight="1" thickBot="1" x14ac:dyDescent="0.3">
      <c r="A8" s="94" t="s">
        <v>239</v>
      </c>
      <c r="B8" s="261">
        <v>1386</v>
      </c>
      <c r="C8" s="271">
        <v>1316</v>
      </c>
      <c r="D8" s="256"/>
      <c r="E8" s="256"/>
      <c r="F8" s="256"/>
    </row>
    <row r="9" spans="1:6" ht="21.75" customHeight="1" thickBot="1" x14ac:dyDescent="0.3">
      <c r="A9" s="67" t="s">
        <v>240</v>
      </c>
      <c r="B9" s="299">
        <f>SUMIF(HK!A:A,"472*",HK!L:L)-SUMIF(HK!A:A,"472*",HK!K:K)</f>
        <v>6047.74</v>
      </c>
      <c r="C9" s="295">
        <f>SUMIF(HKM!A:A,"472*",HKM!L:L)-SUMIF(HKM!A:A,"472*",HKM!K:K)</f>
        <v>5351.21</v>
      </c>
      <c r="D9" s="256"/>
      <c r="E9" s="298"/>
      <c r="F9" s="256"/>
    </row>
    <row r="10" spans="1:6" ht="17.25" thickTop="1" x14ac:dyDescent="0.3">
      <c r="A10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8"/>
  <sheetViews>
    <sheetView showGridLines="0" zoomScaleNormal="100" workbookViewId="0">
      <selection activeCell="C22" sqref="C22"/>
    </sheetView>
  </sheetViews>
  <sheetFormatPr defaultRowHeight="15" x14ac:dyDescent="0.25"/>
  <cols>
    <col min="1" max="6" width="14.42578125" customWidth="1"/>
    <col min="7" max="7" width="23.28515625" customWidth="1"/>
  </cols>
  <sheetData>
    <row r="1" spans="1:6" ht="17.25" thickBot="1" x14ac:dyDescent="0.35">
      <c r="A1" s="1" t="s">
        <v>479</v>
      </c>
    </row>
    <row r="2" spans="1:6" s="4" customFormat="1" ht="21.75" customHeight="1" thickTop="1" thickBot="1" x14ac:dyDescent="0.3">
      <c r="A2" s="57" t="s">
        <v>241</v>
      </c>
      <c r="B2" s="37" t="s">
        <v>242</v>
      </c>
      <c r="C2" s="37" t="s">
        <v>243</v>
      </c>
      <c r="D2" s="37" t="s">
        <v>244</v>
      </c>
      <c r="E2" s="37" t="s">
        <v>245</v>
      </c>
      <c r="F2" s="37" t="s">
        <v>184</v>
      </c>
    </row>
    <row r="3" spans="1:6" ht="21.75" customHeight="1" thickTop="1" thickBot="1" x14ac:dyDescent="0.3">
      <c r="A3" s="99"/>
      <c r="B3" s="97"/>
      <c r="C3" s="74"/>
      <c r="D3" s="74"/>
      <c r="E3" s="74"/>
      <c r="F3" s="75"/>
    </row>
    <row r="4" spans="1:6" ht="21.75" customHeight="1" thickBot="1" x14ac:dyDescent="0.3">
      <c r="A4" s="99"/>
      <c r="B4" s="97"/>
      <c r="C4" s="74"/>
      <c r="D4" s="74"/>
      <c r="E4" s="74"/>
      <c r="F4" s="75"/>
    </row>
    <row r="5" spans="1:6" ht="21.75" customHeight="1" thickBot="1" x14ac:dyDescent="0.3">
      <c r="A5" s="99"/>
      <c r="B5" s="97"/>
      <c r="C5" s="74"/>
      <c r="D5" s="74"/>
      <c r="E5" s="74"/>
      <c r="F5" s="75"/>
    </row>
    <row r="6" spans="1:6" ht="21.75" customHeight="1" thickBot="1" x14ac:dyDescent="0.3">
      <c r="A6" s="100"/>
      <c r="B6" s="98"/>
      <c r="C6" s="80"/>
      <c r="D6" s="80"/>
      <c r="E6" s="80"/>
      <c r="F6" s="73"/>
    </row>
    <row r="7" spans="1:6" ht="15.75" thickTop="1" x14ac:dyDescent="0.25"/>
    <row r="8" spans="1:6" x14ac:dyDescent="0.25">
      <c r="A8" s="322" t="s">
        <v>1481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8"/>
  <sheetViews>
    <sheetView showGridLines="0" topLeftCell="A4" zoomScaleNormal="100" workbookViewId="0">
      <selection activeCell="H16" sqref="H16"/>
    </sheetView>
  </sheetViews>
  <sheetFormatPr defaultRowHeight="11.25" x14ac:dyDescent="0.25"/>
  <cols>
    <col min="1" max="1" width="23" style="20" customWidth="1"/>
    <col min="2" max="2" width="8.28515625" style="20" customWidth="1"/>
    <col min="3" max="6" width="13.85546875" style="20" customWidth="1"/>
    <col min="7" max="7" width="23.28515625" style="20" customWidth="1"/>
    <col min="8" max="16384" width="9.140625" style="20"/>
  </cols>
  <sheetData>
    <row r="1" spans="1:9" x14ac:dyDescent="0.25">
      <c r="A1" s="90" t="s">
        <v>480</v>
      </c>
    </row>
    <row r="2" spans="1:9" ht="12" thickBot="1" x14ac:dyDescent="0.3">
      <c r="A2" s="20" t="s">
        <v>8</v>
      </c>
    </row>
    <row r="3" spans="1:9" ht="66.75" customHeight="1" thickTop="1" thickBot="1" x14ac:dyDescent="0.3">
      <c r="A3" s="19" t="s">
        <v>131</v>
      </c>
      <c r="B3" s="19" t="s">
        <v>246</v>
      </c>
      <c r="C3" s="48" t="s">
        <v>477</v>
      </c>
      <c r="D3" s="19" t="s">
        <v>247</v>
      </c>
      <c r="E3" s="19" t="s">
        <v>248</v>
      </c>
      <c r="F3" s="19" t="s">
        <v>249</v>
      </c>
    </row>
    <row r="4" spans="1:9" ht="21.75" customHeight="1" thickTop="1" thickBot="1" x14ac:dyDescent="0.3">
      <c r="A4" s="50" t="s">
        <v>250</v>
      </c>
      <c r="B4" s="82"/>
      <c r="C4" s="82"/>
      <c r="D4" s="82"/>
      <c r="E4" s="82"/>
      <c r="F4" s="78"/>
    </row>
    <row r="5" spans="1:9" ht="21.75" customHeight="1" thickTop="1" thickBot="1" x14ac:dyDescent="0.3">
      <c r="A5" s="69"/>
      <c r="B5" s="173"/>
      <c r="C5" s="174"/>
      <c r="D5" s="175"/>
      <c r="E5" s="130"/>
      <c r="F5" s="72"/>
    </row>
    <row r="6" spans="1:9" ht="21.75" customHeight="1" thickBot="1" x14ac:dyDescent="0.3">
      <c r="A6" s="159"/>
      <c r="B6" s="101"/>
      <c r="C6" s="104"/>
      <c r="D6" s="86"/>
      <c r="E6" s="74"/>
      <c r="F6" s="75"/>
    </row>
    <row r="7" spans="1:9" ht="21.75" customHeight="1" thickBot="1" x14ac:dyDescent="0.3">
      <c r="A7" s="317" t="s">
        <v>1489</v>
      </c>
      <c r="B7" s="101" t="s">
        <v>1490</v>
      </c>
      <c r="C7" s="329">
        <v>4.02E-2</v>
      </c>
      <c r="D7" s="328">
        <v>42941</v>
      </c>
      <c r="E7" s="297">
        <f>SUMIF(SUP!C:C,"119",SUP!D:D)</f>
        <v>432749.44</v>
      </c>
      <c r="F7" s="351">
        <f>SUMIF(SUP!C:C,"119",SUP!E:E)</f>
        <v>499270</v>
      </c>
      <c r="G7" s="242"/>
      <c r="H7" s="300"/>
      <c r="I7" s="242"/>
    </row>
    <row r="8" spans="1:9" ht="21.75" customHeight="1" thickBot="1" x14ac:dyDescent="0.3">
      <c r="A8" s="342" t="s">
        <v>251</v>
      </c>
      <c r="B8" s="343"/>
      <c r="C8" s="344"/>
      <c r="D8" s="344"/>
      <c r="E8" s="345"/>
      <c r="F8" s="346"/>
      <c r="G8" s="242"/>
      <c r="H8" s="242"/>
      <c r="I8" s="242"/>
    </row>
    <row r="9" spans="1:9" ht="21.75" customHeight="1" thickBot="1" x14ac:dyDescent="0.3">
      <c r="A9" s="349" t="s">
        <v>1505</v>
      </c>
      <c r="B9" s="347" t="s">
        <v>1490</v>
      </c>
      <c r="C9" s="357">
        <v>4.02E-2</v>
      </c>
      <c r="D9" s="355">
        <v>42941</v>
      </c>
      <c r="E9" s="350">
        <v>66521</v>
      </c>
      <c r="F9" s="350">
        <v>66521</v>
      </c>
      <c r="G9" s="242"/>
      <c r="H9" s="242"/>
      <c r="I9" s="242"/>
    </row>
    <row r="10" spans="1:9" ht="21.75" customHeight="1" thickBot="1" x14ac:dyDescent="0.3">
      <c r="A10" s="317" t="s">
        <v>1491</v>
      </c>
      <c r="B10" s="101" t="s">
        <v>1490</v>
      </c>
      <c r="C10" s="329">
        <v>4.82E-2</v>
      </c>
      <c r="D10" s="328">
        <v>41951</v>
      </c>
      <c r="E10" s="261">
        <v>384481</v>
      </c>
      <c r="F10" s="271">
        <v>384481</v>
      </c>
      <c r="G10" s="242"/>
      <c r="H10" s="242"/>
      <c r="I10" s="242"/>
    </row>
    <row r="11" spans="1:9" ht="21.75" customHeight="1" thickBot="1" x14ac:dyDescent="0.3">
      <c r="A11" s="317" t="s">
        <v>1492</v>
      </c>
      <c r="B11" s="101" t="s">
        <v>1490</v>
      </c>
      <c r="C11" s="329">
        <v>4.2000000000000003E-2</v>
      </c>
      <c r="D11" s="328">
        <v>41958</v>
      </c>
      <c r="E11" s="261">
        <v>32121</v>
      </c>
      <c r="F11" s="271">
        <v>32121</v>
      </c>
      <c r="G11" s="330"/>
      <c r="H11" s="242"/>
      <c r="I11" s="242"/>
    </row>
    <row r="12" spans="1:9" ht="21.75" customHeight="1" thickBot="1" x14ac:dyDescent="0.3">
      <c r="A12" s="67"/>
      <c r="B12" s="103"/>
      <c r="C12" s="107"/>
      <c r="D12" s="87"/>
      <c r="E12" s="299">
        <f>E9+E10+E11</f>
        <v>483123</v>
      </c>
      <c r="F12" s="352">
        <f>SUMIF(SUP!C:C,"120",SUP!E:E)</f>
        <v>514775.35</v>
      </c>
      <c r="G12" s="242"/>
      <c r="H12" s="300"/>
      <c r="I12" s="242"/>
    </row>
    <row r="13" spans="1:9" ht="12" thickTop="1" x14ac:dyDescent="0.25">
      <c r="A13" s="90"/>
    </row>
    <row r="14" spans="1:9" ht="12" thickBot="1" x14ac:dyDescent="0.3">
      <c r="A14" s="20" t="s">
        <v>15</v>
      </c>
    </row>
    <row r="15" spans="1:9" ht="66.75" customHeight="1" thickTop="1" thickBot="1" x14ac:dyDescent="0.3">
      <c r="A15" s="19" t="s">
        <v>131</v>
      </c>
      <c r="B15" s="19" t="s">
        <v>246</v>
      </c>
      <c r="C15" s="48" t="s">
        <v>477</v>
      </c>
      <c r="D15" s="19" t="s">
        <v>247</v>
      </c>
      <c r="E15" s="19" t="s">
        <v>248</v>
      </c>
      <c r="F15" s="19" t="s">
        <v>249</v>
      </c>
    </row>
    <row r="16" spans="1:9" ht="21.75" customHeight="1" thickTop="1" thickBot="1" x14ac:dyDescent="0.3">
      <c r="A16" s="50" t="s">
        <v>474</v>
      </c>
      <c r="B16" s="82"/>
      <c r="C16" s="82"/>
      <c r="D16" s="82"/>
      <c r="E16" s="82"/>
      <c r="F16" s="78"/>
    </row>
    <row r="17" spans="1:8" ht="21.75" customHeight="1" thickTop="1" thickBot="1" x14ac:dyDescent="0.3">
      <c r="A17" s="66"/>
      <c r="B17" s="101"/>
      <c r="C17" s="104"/>
      <c r="D17" s="86"/>
      <c r="E17" s="74"/>
      <c r="F17" s="75"/>
    </row>
    <row r="18" spans="1:8" ht="21.75" customHeight="1" thickBot="1" x14ac:dyDescent="0.3">
      <c r="A18" s="66"/>
      <c r="B18" s="101"/>
      <c r="C18" s="104"/>
      <c r="D18" s="86"/>
      <c r="E18" s="74"/>
      <c r="F18" s="75"/>
    </row>
    <row r="19" spans="1:8" ht="21.75" customHeight="1" thickBot="1" x14ac:dyDescent="0.3">
      <c r="A19" s="66"/>
      <c r="B19" s="101"/>
      <c r="C19" s="104"/>
      <c r="D19" s="86"/>
      <c r="E19" s="74"/>
      <c r="F19" s="75"/>
    </row>
    <row r="20" spans="1:8" ht="21.75" customHeight="1" thickBot="1" x14ac:dyDescent="0.3">
      <c r="A20" s="91" t="s">
        <v>475</v>
      </c>
      <c r="B20" s="102"/>
      <c r="C20" s="105"/>
      <c r="D20" s="105"/>
      <c r="E20" s="105"/>
      <c r="F20" s="106"/>
    </row>
    <row r="21" spans="1:8" ht="21.75" customHeight="1" thickTop="1" thickBot="1" x14ac:dyDescent="0.3">
      <c r="A21" s="66"/>
      <c r="B21" s="101"/>
      <c r="C21" s="104"/>
      <c r="D21" s="86"/>
      <c r="E21" s="74"/>
      <c r="F21" s="75"/>
    </row>
    <row r="22" spans="1:8" ht="21.75" customHeight="1" thickBot="1" x14ac:dyDescent="0.3">
      <c r="A22" s="66"/>
      <c r="B22" s="101"/>
      <c r="C22" s="104"/>
      <c r="D22" s="86"/>
      <c r="E22" s="74"/>
      <c r="F22" s="75"/>
    </row>
    <row r="23" spans="1:8" ht="21.75" customHeight="1" thickBot="1" x14ac:dyDescent="0.3">
      <c r="A23" s="66"/>
      <c r="B23" s="101"/>
      <c r="C23" s="104"/>
      <c r="D23" s="86"/>
      <c r="E23" s="74"/>
      <c r="F23" s="75"/>
    </row>
    <row r="24" spans="1:8" ht="21.75" customHeight="1" thickBot="1" x14ac:dyDescent="0.3">
      <c r="A24" s="342" t="s">
        <v>476</v>
      </c>
      <c r="B24" s="343"/>
      <c r="C24" s="344"/>
      <c r="D24" s="344"/>
      <c r="E24" s="344"/>
      <c r="F24" s="353"/>
    </row>
    <row r="25" spans="1:8" ht="21.75" customHeight="1" thickBot="1" x14ac:dyDescent="0.3">
      <c r="A25" s="349" t="s">
        <v>1506</v>
      </c>
      <c r="B25" s="356" t="s">
        <v>1490</v>
      </c>
      <c r="C25" s="348"/>
      <c r="D25" s="355">
        <v>42004</v>
      </c>
      <c r="E25" s="146">
        <v>26555</v>
      </c>
      <c r="F25" s="146">
        <v>26555</v>
      </c>
    </row>
    <row r="26" spans="1:8" ht="21.75" customHeight="1" thickBot="1" x14ac:dyDescent="0.3">
      <c r="A26" s="338" t="s">
        <v>1507</v>
      </c>
      <c r="B26" s="101" t="s">
        <v>1490</v>
      </c>
      <c r="C26" s="354"/>
      <c r="D26" s="355">
        <v>42004</v>
      </c>
      <c r="E26" s="146">
        <v>17000</v>
      </c>
      <c r="F26" s="146">
        <v>17000</v>
      </c>
    </row>
    <row r="27" spans="1:8" ht="21.75" customHeight="1" thickBot="1" x14ac:dyDescent="0.3">
      <c r="A27" s="67"/>
      <c r="B27" s="103"/>
      <c r="C27" s="107"/>
      <c r="D27" s="87"/>
      <c r="E27" s="299">
        <f>SUMIF(SUP!C:C,"117",SUP!D:D)</f>
        <v>43555.14</v>
      </c>
      <c r="F27" s="299">
        <v>43555</v>
      </c>
      <c r="G27" s="242"/>
      <c r="H27" s="300"/>
    </row>
    <row r="28" spans="1:8" ht="12" thickTop="1" x14ac:dyDescent="0.25">
      <c r="E28" s="242"/>
      <c r="F28" s="242"/>
      <c r="G28" s="242"/>
      <c r="H28" s="242"/>
    </row>
  </sheetData>
  <pageMargins left="0.7" right="0.7" top="0.75" bottom="0.75" header="0.3" footer="0.3"/>
  <pageSetup paperSize="9" orientation="portrait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0"/>
  <sheetViews>
    <sheetView showGridLines="0" zoomScaleNormal="100" workbookViewId="0">
      <selection activeCell="B17" sqref="B17"/>
    </sheetView>
  </sheetViews>
  <sheetFormatPr defaultRowHeight="15" x14ac:dyDescent="0.2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5" ht="17.25" thickBot="1" x14ac:dyDescent="0.35">
      <c r="A1" s="1" t="s">
        <v>481</v>
      </c>
    </row>
    <row r="2" spans="1:5" ht="24" thickTop="1" thickBot="1" x14ac:dyDescent="0.3">
      <c r="A2" s="79" t="s">
        <v>131</v>
      </c>
      <c r="B2" s="37" t="s">
        <v>2</v>
      </c>
      <c r="C2" s="37" t="s">
        <v>3</v>
      </c>
    </row>
    <row r="3" spans="1:5" ht="35.25" thickTop="1" thickBot="1" x14ac:dyDescent="0.3">
      <c r="A3" s="43" t="s">
        <v>220</v>
      </c>
      <c r="B3" s="74"/>
      <c r="C3" s="75"/>
    </row>
    <row r="4" spans="1:5" ht="23.25" customHeight="1" thickBot="1" x14ac:dyDescent="0.3">
      <c r="A4" s="14" t="s">
        <v>221</v>
      </c>
      <c r="B4" s="74">
        <v>14234</v>
      </c>
      <c r="C4" s="75">
        <v>17297</v>
      </c>
    </row>
    <row r="5" spans="1:5" ht="23.25" customHeight="1" thickBot="1" x14ac:dyDescent="0.3">
      <c r="A5" s="14" t="s">
        <v>222</v>
      </c>
      <c r="B5" s="74"/>
      <c r="C5" s="75"/>
    </row>
    <row r="6" spans="1:5" ht="45.75" thickBot="1" x14ac:dyDescent="0.3">
      <c r="A6" s="43" t="s">
        <v>223</v>
      </c>
      <c r="B6" s="74"/>
      <c r="C6" s="75"/>
    </row>
    <row r="7" spans="1:5" ht="23.25" customHeight="1" thickBot="1" x14ac:dyDescent="0.3">
      <c r="A7" s="14" t="s">
        <v>221</v>
      </c>
      <c r="B7" s="74"/>
      <c r="C7" s="75"/>
    </row>
    <row r="8" spans="1:5" ht="23.25" customHeight="1" thickBot="1" x14ac:dyDescent="0.3">
      <c r="A8" s="14" t="s">
        <v>222</v>
      </c>
      <c r="B8" s="74"/>
      <c r="C8" s="75"/>
    </row>
    <row r="9" spans="1:5" ht="23.25" customHeight="1" thickBot="1" x14ac:dyDescent="0.3">
      <c r="A9" s="43" t="s">
        <v>224</v>
      </c>
      <c r="B9" s="74"/>
      <c r="C9" s="75"/>
    </row>
    <row r="10" spans="1:5" ht="23.25" customHeight="1" thickBot="1" x14ac:dyDescent="0.3">
      <c r="A10" s="43" t="s">
        <v>225</v>
      </c>
      <c r="B10" s="74"/>
      <c r="C10" s="75"/>
    </row>
    <row r="11" spans="1:5" ht="23.25" customHeight="1" thickBot="1" x14ac:dyDescent="0.3">
      <c r="A11" s="43" t="s">
        <v>226</v>
      </c>
      <c r="B11" s="104">
        <v>0.23</v>
      </c>
      <c r="C11" s="108">
        <v>0.19</v>
      </c>
    </row>
    <row r="12" spans="1:5" ht="23.25" customHeight="1" thickBot="1" x14ac:dyDescent="0.3">
      <c r="A12" s="43" t="s">
        <v>227</v>
      </c>
      <c r="B12" s="297">
        <f>SUMIF(SUA!C:C,"045",SUA!F:F)</f>
        <v>0</v>
      </c>
      <c r="C12" s="262">
        <f>SUMIF(SUA!C:C,"045",SUA!G:G)</f>
        <v>0</v>
      </c>
      <c r="D12" s="256"/>
      <c r="E12" s="300"/>
    </row>
    <row r="13" spans="1:5" ht="23.25" customHeight="1" thickBot="1" x14ac:dyDescent="0.3">
      <c r="A13" s="43" t="s">
        <v>228</v>
      </c>
      <c r="B13" s="261"/>
      <c r="C13" s="271"/>
      <c r="D13" s="256"/>
      <c r="E13" s="256"/>
    </row>
    <row r="14" spans="1:5" ht="23.25" customHeight="1" thickBot="1" x14ac:dyDescent="0.3">
      <c r="A14" s="14" t="s">
        <v>229</v>
      </c>
      <c r="B14" s="261"/>
      <c r="C14" s="271"/>
      <c r="D14" s="256"/>
      <c r="E14" s="256"/>
    </row>
    <row r="15" spans="1:5" ht="23.25" customHeight="1" thickBot="1" x14ac:dyDescent="0.3">
      <c r="A15" s="14" t="s">
        <v>230</v>
      </c>
      <c r="B15" s="261"/>
      <c r="C15" s="271"/>
      <c r="D15" s="256"/>
      <c r="E15" s="256"/>
    </row>
    <row r="16" spans="1:5" ht="23.25" customHeight="1" thickBot="1" x14ac:dyDescent="0.3">
      <c r="A16" s="95" t="s">
        <v>231</v>
      </c>
      <c r="B16" s="297">
        <v>27255</v>
      </c>
      <c r="C16" s="262">
        <v>23989</v>
      </c>
      <c r="D16" s="256"/>
      <c r="E16" s="300"/>
    </row>
    <row r="17" spans="1:3" ht="23.25" customHeight="1" thickBot="1" x14ac:dyDescent="0.3">
      <c r="A17" s="96" t="s">
        <v>232</v>
      </c>
      <c r="B17" s="74">
        <v>3267</v>
      </c>
      <c r="C17" s="75">
        <v>7430</v>
      </c>
    </row>
    <row r="18" spans="1:3" ht="23.25" customHeight="1" thickBot="1" x14ac:dyDescent="0.3">
      <c r="A18" s="14" t="s">
        <v>233</v>
      </c>
      <c r="B18" s="74">
        <v>3267</v>
      </c>
      <c r="C18" s="75">
        <v>7430</v>
      </c>
    </row>
    <row r="19" spans="1:3" ht="23.25" customHeight="1" thickBot="1" x14ac:dyDescent="0.3">
      <c r="A19" s="16" t="s">
        <v>230</v>
      </c>
      <c r="B19" s="80"/>
      <c r="C19" s="73"/>
    </row>
    <row r="20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7"/>
  <sheetViews>
    <sheetView showGridLines="0" zoomScaleNormal="100" workbookViewId="0">
      <selection activeCell="B25" sqref="B25"/>
    </sheetView>
  </sheetViews>
  <sheetFormatPr defaultRowHeight="15" x14ac:dyDescent="0.25"/>
  <cols>
    <col min="1" max="1" width="32.7109375" customWidth="1"/>
    <col min="2" max="3" width="26.85546875" customWidth="1"/>
    <col min="4" max="4" width="22.28515625" customWidth="1"/>
  </cols>
  <sheetData>
    <row r="1" spans="1:6" ht="17.25" thickBot="1" x14ac:dyDescent="0.35">
      <c r="A1" s="1" t="s">
        <v>252</v>
      </c>
    </row>
    <row r="2" spans="1:6" ht="23.25" customHeight="1" thickTop="1" thickBot="1" x14ac:dyDescent="0.3">
      <c r="A2" s="79" t="s">
        <v>1</v>
      </c>
      <c r="B2" s="149" t="s">
        <v>2</v>
      </c>
      <c r="C2" s="149" t="s">
        <v>3</v>
      </c>
    </row>
    <row r="3" spans="1:6" ht="23.25" customHeight="1" thickTop="1" thickBot="1" x14ac:dyDescent="0.3">
      <c r="A3" s="68" t="s">
        <v>253</v>
      </c>
      <c r="B3" s="299">
        <f>SUMIF(SUP!C:C,"122",SUP!D:D)</f>
        <v>0</v>
      </c>
      <c r="C3" s="295">
        <f>SUMIF(SUP!C:C,"122",SUP!E:E)</f>
        <v>0</v>
      </c>
      <c r="D3" s="256"/>
      <c r="E3" s="300"/>
      <c r="F3" s="256"/>
    </row>
    <row r="4" spans="1:6" ht="23.25" customHeight="1" thickTop="1" thickBot="1" x14ac:dyDescent="0.3">
      <c r="A4" s="14"/>
      <c r="B4" s="261"/>
      <c r="C4" s="271"/>
      <c r="D4" s="256"/>
      <c r="E4" s="256"/>
      <c r="F4" s="256"/>
    </row>
    <row r="5" spans="1:6" ht="23.25" customHeight="1" thickBot="1" x14ac:dyDescent="0.3">
      <c r="A5" s="16"/>
      <c r="B5" s="290"/>
      <c r="C5" s="272"/>
      <c r="D5" s="256"/>
      <c r="E5" s="256"/>
      <c r="F5" s="256"/>
    </row>
    <row r="6" spans="1:6" ht="23.25" customHeight="1" thickTop="1" thickBot="1" x14ac:dyDescent="0.3">
      <c r="A6" s="24" t="s">
        <v>254</v>
      </c>
      <c r="B6" s="299">
        <f>SUMIF(SUP!C:C,"123",SUP!D:D)</f>
        <v>0</v>
      </c>
      <c r="C6" s="295">
        <f>SUMIF(SUP!C:C,"123",SUP!E:E)</f>
        <v>0</v>
      </c>
      <c r="D6" s="256"/>
      <c r="E6" s="300"/>
      <c r="F6" s="256"/>
    </row>
    <row r="7" spans="1:6" ht="23.25" customHeight="1" thickTop="1" thickBot="1" x14ac:dyDescent="0.3">
      <c r="A7" s="14"/>
      <c r="B7" s="261"/>
      <c r="C7" s="271"/>
      <c r="D7" s="256"/>
      <c r="E7" s="256"/>
      <c r="F7" s="256"/>
    </row>
    <row r="8" spans="1:6" ht="23.25" customHeight="1" thickBot="1" x14ac:dyDescent="0.3">
      <c r="A8" s="16"/>
      <c r="B8" s="290"/>
      <c r="C8" s="272"/>
      <c r="D8" s="256"/>
      <c r="E8" s="256"/>
      <c r="F8" s="256"/>
    </row>
    <row r="9" spans="1:6" ht="23.25" customHeight="1" thickTop="1" thickBot="1" x14ac:dyDescent="0.3">
      <c r="A9" s="24" t="s">
        <v>482</v>
      </c>
      <c r="B9" s="299">
        <f>SUMIF(SUP!C:C,"124",SUP!D:D)</f>
        <v>3551.75</v>
      </c>
      <c r="C9" s="295">
        <f>SUMIF(SUP!C:C,"124",SUP!E:E)</f>
        <v>0</v>
      </c>
      <c r="D9" s="256"/>
      <c r="E9" s="300"/>
      <c r="F9" s="256"/>
    </row>
    <row r="10" spans="1:6" ht="23.25" customHeight="1" thickTop="1" thickBot="1" x14ac:dyDescent="0.3">
      <c r="A10" s="14" t="s">
        <v>1493</v>
      </c>
      <c r="B10" s="74">
        <v>2888</v>
      </c>
      <c r="C10" s="271"/>
      <c r="D10" s="256"/>
      <c r="E10" s="256"/>
      <c r="F10" s="256"/>
    </row>
    <row r="11" spans="1:6" ht="23.25" customHeight="1" thickBot="1" x14ac:dyDescent="0.3">
      <c r="A11" s="109" t="s">
        <v>1494</v>
      </c>
      <c r="B11" s="110">
        <v>664</v>
      </c>
      <c r="C11" s="271"/>
      <c r="D11" s="256"/>
      <c r="E11" s="256"/>
      <c r="F11" s="256"/>
    </row>
    <row r="12" spans="1:6" ht="23.25" customHeight="1" thickBot="1" x14ac:dyDescent="0.3">
      <c r="A12" s="16"/>
      <c r="B12" s="290"/>
      <c r="C12" s="272"/>
      <c r="D12" s="256"/>
      <c r="E12" s="256"/>
      <c r="F12" s="256"/>
    </row>
    <row r="13" spans="1:6" ht="23.25" customHeight="1" thickTop="1" thickBot="1" x14ac:dyDescent="0.3">
      <c r="A13" s="24" t="s">
        <v>483</v>
      </c>
      <c r="B13" s="299">
        <f>SUMIF(SUP!C:C,"125",SUP!D:D)</f>
        <v>0</v>
      </c>
      <c r="C13" s="295">
        <f>SUMIF(SUP!C:C,"125",SUP!E:E)</f>
        <v>3551.75</v>
      </c>
      <c r="D13" s="256"/>
      <c r="E13" s="300"/>
      <c r="F13" s="256"/>
    </row>
    <row r="14" spans="1:6" ht="23.25" customHeight="1" thickTop="1" thickBot="1" x14ac:dyDescent="0.3">
      <c r="A14" s="14" t="s">
        <v>1493</v>
      </c>
      <c r="B14" s="74"/>
      <c r="C14" s="75">
        <v>2888</v>
      </c>
    </row>
    <row r="15" spans="1:6" ht="23.25" customHeight="1" thickBot="1" x14ac:dyDescent="0.3">
      <c r="A15" s="109" t="s">
        <v>1508</v>
      </c>
      <c r="B15" s="110"/>
      <c r="C15" s="111">
        <v>664</v>
      </c>
    </row>
    <row r="16" spans="1:6" ht="23.25" customHeight="1" thickBot="1" x14ac:dyDescent="0.3">
      <c r="A16" s="16"/>
      <c r="B16" s="80"/>
      <c r="C16" s="73"/>
    </row>
    <row r="17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16"/>
  <sheetViews>
    <sheetView showGridLines="0" zoomScaleNormal="100" workbookViewId="0">
      <selection activeCell="B28" sqref="B28"/>
    </sheetView>
  </sheetViews>
  <sheetFormatPr defaultRowHeight="15" x14ac:dyDescent="0.25"/>
  <cols>
    <col min="1" max="1" width="27.5703125" customWidth="1"/>
    <col min="2" max="5" width="19.5703125" customWidth="1"/>
  </cols>
  <sheetData>
    <row r="1" spans="1:5" ht="16.5" x14ac:dyDescent="0.3">
      <c r="A1" s="1" t="s">
        <v>255</v>
      </c>
    </row>
    <row r="2" spans="1:5" ht="15.75" thickBot="1" x14ac:dyDescent="0.3">
      <c r="A2" s="20" t="s">
        <v>8</v>
      </c>
      <c r="B2" s="20"/>
      <c r="C2" s="20"/>
      <c r="D2" s="20"/>
      <c r="E2" s="20"/>
    </row>
    <row r="3" spans="1:5" ht="16.5" thickTop="1" thickBot="1" x14ac:dyDescent="0.3">
      <c r="A3" s="383" t="s">
        <v>131</v>
      </c>
      <c r="B3" s="361" t="s">
        <v>256</v>
      </c>
      <c r="C3" s="367"/>
      <c r="D3" s="359" t="s">
        <v>257</v>
      </c>
      <c r="E3" s="20"/>
    </row>
    <row r="4" spans="1:5" ht="16.5" thickTop="1" thickBot="1" x14ac:dyDescent="0.3">
      <c r="A4" s="385"/>
      <c r="B4" s="21" t="s">
        <v>258</v>
      </c>
      <c r="C4" s="64" t="s">
        <v>259</v>
      </c>
      <c r="D4" s="360"/>
      <c r="E4" s="20"/>
    </row>
    <row r="5" spans="1:5" ht="18.75" customHeight="1" thickTop="1" thickBot="1" x14ac:dyDescent="0.3">
      <c r="A5" s="24" t="s">
        <v>260</v>
      </c>
      <c r="B5" s="56"/>
      <c r="C5" s="56"/>
      <c r="D5" s="58"/>
      <c r="E5" s="20"/>
    </row>
    <row r="6" spans="1:5" ht="18.75" customHeight="1" thickTop="1" thickBot="1" x14ac:dyDescent="0.3">
      <c r="A6" s="14"/>
      <c r="B6" s="74"/>
      <c r="C6" s="74"/>
      <c r="D6" s="75"/>
      <c r="E6" s="20"/>
    </row>
    <row r="7" spans="1:5" ht="18.75" customHeight="1" thickBot="1" x14ac:dyDescent="0.3">
      <c r="A7" s="14"/>
      <c r="B7" s="74"/>
      <c r="C7" s="74"/>
      <c r="D7" s="75"/>
      <c r="E7" s="20"/>
    </row>
    <row r="8" spans="1:5" ht="18.75" customHeight="1" thickBot="1" x14ac:dyDescent="0.3">
      <c r="A8" s="14"/>
      <c r="B8" s="74"/>
      <c r="C8" s="74"/>
      <c r="D8" s="75"/>
      <c r="E8" s="20"/>
    </row>
    <row r="9" spans="1:5" ht="18.75" customHeight="1" thickBot="1" x14ac:dyDescent="0.3">
      <c r="A9" s="16"/>
      <c r="B9" s="80"/>
      <c r="C9" s="136"/>
      <c r="D9" s="73"/>
      <c r="E9" s="20"/>
    </row>
    <row r="10" spans="1:5" ht="18.75" customHeight="1" thickTop="1" thickBot="1" x14ac:dyDescent="0.3">
      <c r="A10" s="24" t="s">
        <v>261</v>
      </c>
      <c r="B10" s="80"/>
      <c r="C10" s="137"/>
      <c r="D10" s="73"/>
      <c r="E10" s="20"/>
    </row>
    <row r="11" spans="1:5" ht="18.75" customHeight="1" thickTop="1" thickBot="1" x14ac:dyDescent="0.3">
      <c r="A11" s="14"/>
      <c r="B11" s="74"/>
      <c r="C11" s="74"/>
      <c r="D11" s="75"/>
      <c r="E11" s="20"/>
    </row>
    <row r="12" spans="1:5" ht="18.75" customHeight="1" thickBot="1" x14ac:dyDescent="0.3">
      <c r="A12" s="14"/>
      <c r="B12" s="74"/>
      <c r="C12" s="74"/>
      <c r="D12" s="75"/>
      <c r="E12" s="20"/>
    </row>
    <row r="13" spans="1:5" ht="18.75" customHeight="1" thickBot="1" x14ac:dyDescent="0.3">
      <c r="A13" s="14"/>
      <c r="B13" s="74"/>
      <c r="C13" s="74"/>
      <c r="D13" s="75"/>
      <c r="E13" s="20"/>
    </row>
    <row r="14" spans="1:5" ht="18.75" customHeight="1" thickBot="1" x14ac:dyDescent="0.3">
      <c r="A14" s="24"/>
      <c r="B14" s="80"/>
      <c r="C14" s="80"/>
      <c r="D14" s="73"/>
      <c r="E14" s="20"/>
    </row>
    <row r="15" spans="1:5" ht="15.75" thickTop="1" x14ac:dyDescent="0.25">
      <c r="A15" s="20"/>
      <c r="B15" s="20"/>
      <c r="C15" s="20"/>
      <c r="D15" s="20"/>
      <c r="E15" s="20"/>
    </row>
    <row r="16" spans="1:5" x14ac:dyDescent="0.25">
      <c r="A16" s="322" t="s">
        <v>1481</v>
      </c>
    </row>
  </sheetData>
  <mergeCells count="3"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1"/>
  <sheetViews>
    <sheetView showGridLines="0" zoomScaleNormal="100" workbookViewId="0">
      <selection activeCell="F36" sqref="F36"/>
    </sheetView>
  </sheetViews>
  <sheetFormatPr defaultRowHeight="15" x14ac:dyDescent="0.25"/>
  <cols>
    <col min="1" max="1" width="24.85546875" customWidth="1"/>
    <col min="2" max="2" width="10.42578125" customWidth="1"/>
    <col min="3" max="4" width="13.42578125" customWidth="1"/>
    <col min="5" max="6" width="11.85546875" customWidth="1"/>
  </cols>
  <sheetData>
    <row r="1" spans="1:7" s="38" customFormat="1" ht="16.5" x14ac:dyDescent="0.3">
      <c r="A1" s="1" t="s">
        <v>7</v>
      </c>
    </row>
    <row r="2" spans="1:7" x14ac:dyDescent="0.25">
      <c r="A2" s="20"/>
      <c r="B2" s="20"/>
      <c r="C2" s="20"/>
      <c r="D2" s="20"/>
      <c r="E2" s="20"/>
      <c r="F2" s="20"/>
      <c r="G2" s="20"/>
    </row>
    <row r="3" spans="1:7" ht="15.75" thickBot="1" x14ac:dyDescent="0.3">
      <c r="A3" s="20" t="s">
        <v>15</v>
      </c>
      <c r="B3" s="20"/>
      <c r="C3" s="20"/>
      <c r="D3" s="20"/>
      <c r="E3" s="20"/>
      <c r="F3" s="20"/>
      <c r="G3" s="20"/>
    </row>
    <row r="4" spans="1:7" ht="44.25" customHeight="1" thickTop="1" thickBot="1" x14ac:dyDescent="0.3">
      <c r="A4" s="361" t="s">
        <v>16</v>
      </c>
      <c r="B4" s="362"/>
      <c r="C4" s="361" t="s">
        <v>10</v>
      </c>
      <c r="D4" s="362"/>
      <c r="E4" s="359" t="s">
        <v>11</v>
      </c>
      <c r="F4" s="359" t="s">
        <v>454</v>
      </c>
      <c r="G4" s="20"/>
    </row>
    <row r="5" spans="1:7" ht="27" customHeight="1" thickTop="1" thickBot="1" x14ac:dyDescent="0.3">
      <c r="A5" s="29" t="s">
        <v>9</v>
      </c>
      <c r="B5" s="21" t="s">
        <v>17</v>
      </c>
      <c r="C5" s="21" t="s">
        <v>13</v>
      </c>
      <c r="D5" s="21" t="s">
        <v>12</v>
      </c>
      <c r="E5" s="360"/>
      <c r="F5" s="360"/>
      <c r="G5" s="20"/>
    </row>
    <row r="6" spans="1:7" ht="16.5" thickTop="1" thickBot="1" x14ac:dyDescent="0.3">
      <c r="A6" s="14"/>
      <c r="B6" s="30"/>
      <c r="C6" s="22"/>
      <c r="D6" s="31"/>
      <c r="E6" s="31"/>
      <c r="F6" s="32"/>
      <c r="G6" s="20"/>
    </row>
    <row r="7" spans="1:7" ht="15.75" thickBot="1" x14ac:dyDescent="0.3">
      <c r="A7" s="14"/>
      <c r="B7" s="30"/>
      <c r="C7" s="22"/>
      <c r="D7" s="31"/>
      <c r="E7" s="31"/>
      <c r="F7" s="32"/>
      <c r="G7" s="20"/>
    </row>
    <row r="8" spans="1:7" ht="15.75" thickBot="1" x14ac:dyDescent="0.3">
      <c r="A8" s="14"/>
      <c r="B8" s="30"/>
      <c r="C8" s="22"/>
      <c r="D8" s="31"/>
      <c r="E8" s="31"/>
      <c r="F8" s="32"/>
      <c r="G8" s="20"/>
    </row>
    <row r="9" spans="1:7" ht="15.75" thickBot="1" x14ac:dyDescent="0.3">
      <c r="A9" s="24" t="s">
        <v>14</v>
      </c>
      <c r="B9" s="33" t="s">
        <v>18</v>
      </c>
      <c r="C9" s="25">
        <f>SUM(C6:C8)</f>
        <v>0</v>
      </c>
      <c r="D9" s="34">
        <f>SUM(D6:D8)</f>
        <v>0</v>
      </c>
      <c r="E9" s="34">
        <f t="shared" ref="E9:F9" si="0">SUM(E6:E8)</f>
        <v>0</v>
      </c>
      <c r="F9" s="35">
        <f t="shared" si="0"/>
        <v>0</v>
      </c>
      <c r="G9" s="20"/>
    </row>
    <row r="10" spans="1:7" ht="15.75" thickTop="1" x14ac:dyDescent="0.25">
      <c r="A10" s="36"/>
      <c r="B10" s="36"/>
      <c r="C10" s="36"/>
      <c r="D10" s="36"/>
      <c r="E10" s="36"/>
      <c r="F10" s="36"/>
      <c r="G10" s="36"/>
    </row>
    <row r="11" spans="1:7" x14ac:dyDescent="0.25">
      <c r="A11" s="322" t="s">
        <v>1481</v>
      </c>
    </row>
  </sheetData>
  <mergeCells count="4">
    <mergeCell ref="F4:F5"/>
    <mergeCell ref="A4:B4"/>
    <mergeCell ref="C4:D4"/>
    <mergeCell ref="E4:E5"/>
  </mergeCells>
  <pageMargins left="0.7" right="0.7" top="0.75" bottom="0.75" header="0.3" footer="0.3"/>
  <pageSetup paperSize="9" orientation="portrait" horizontalDpi="300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18"/>
  <sheetViews>
    <sheetView showGridLines="0" zoomScaleNormal="100" workbookViewId="0">
      <selection activeCell="F30" sqref="F30"/>
    </sheetView>
  </sheetViews>
  <sheetFormatPr defaultRowHeight="15" x14ac:dyDescent="0.25"/>
  <cols>
    <col min="1" max="1" width="18.5703125" customWidth="1"/>
    <col min="2" max="5" width="17" customWidth="1"/>
  </cols>
  <sheetData>
    <row r="1" spans="1:5" ht="16.5" x14ac:dyDescent="0.3">
      <c r="A1" s="1" t="s">
        <v>255</v>
      </c>
    </row>
    <row r="2" spans="1:5" x14ac:dyDescent="0.25">
      <c r="A2" s="20"/>
      <c r="B2" s="20"/>
      <c r="C2" s="20"/>
      <c r="D2" s="20"/>
      <c r="E2" s="20"/>
    </row>
    <row r="3" spans="1:5" ht="15.75" thickBot="1" x14ac:dyDescent="0.3">
      <c r="A3" s="20" t="s">
        <v>15</v>
      </c>
      <c r="B3" s="20"/>
      <c r="C3" s="20"/>
      <c r="D3" s="20"/>
      <c r="E3" s="20"/>
    </row>
    <row r="4" spans="1:5" ht="28.5" customHeight="1" thickTop="1" thickBot="1" x14ac:dyDescent="0.3">
      <c r="A4" s="383" t="s">
        <v>131</v>
      </c>
      <c r="B4" s="361" t="s">
        <v>2</v>
      </c>
      <c r="C4" s="362"/>
      <c r="D4" s="361" t="s">
        <v>3</v>
      </c>
      <c r="E4" s="362"/>
    </row>
    <row r="5" spans="1:5" ht="17.25" customHeight="1" thickTop="1" thickBot="1" x14ac:dyDescent="0.3">
      <c r="A5" s="384"/>
      <c r="B5" s="361" t="s">
        <v>262</v>
      </c>
      <c r="C5" s="362"/>
      <c r="D5" s="361" t="s">
        <v>262</v>
      </c>
      <c r="E5" s="362"/>
    </row>
    <row r="6" spans="1:5" ht="24" thickTop="1" thickBot="1" x14ac:dyDescent="0.3">
      <c r="A6" s="385"/>
      <c r="B6" s="21" t="s">
        <v>263</v>
      </c>
      <c r="C6" s="21" t="s">
        <v>264</v>
      </c>
      <c r="D6" s="21" t="s">
        <v>263</v>
      </c>
      <c r="E6" s="21" t="s">
        <v>264</v>
      </c>
    </row>
    <row r="7" spans="1:5" ht="35.25" thickTop="1" thickBot="1" x14ac:dyDescent="0.3">
      <c r="A7" s="24" t="s">
        <v>260</v>
      </c>
      <c r="B7" s="56"/>
      <c r="C7" s="56"/>
      <c r="D7" s="58"/>
      <c r="E7" s="58"/>
    </row>
    <row r="8" spans="1:5" ht="18.75" customHeight="1" thickTop="1" thickBot="1" x14ac:dyDescent="0.3">
      <c r="A8" s="14"/>
      <c r="B8" s="74"/>
      <c r="C8" s="74"/>
      <c r="D8" s="75"/>
      <c r="E8" s="75"/>
    </row>
    <row r="9" spans="1:5" ht="18.75" customHeight="1" thickBot="1" x14ac:dyDescent="0.3">
      <c r="A9" s="14"/>
      <c r="B9" s="74"/>
      <c r="C9" s="74"/>
      <c r="D9" s="75"/>
      <c r="E9" s="75"/>
    </row>
    <row r="10" spans="1:5" ht="18.75" customHeight="1" thickBot="1" x14ac:dyDescent="0.3">
      <c r="A10" s="14"/>
      <c r="B10" s="74"/>
      <c r="C10" s="74"/>
      <c r="D10" s="75"/>
      <c r="E10" s="75"/>
    </row>
    <row r="11" spans="1:5" ht="18.75" customHeight="1" thickBot="1" x14ac:dyDescent="0.3">
      <c r="A11" s="16"/>
      <c r="B11" s="80"/>
      <c r="C11" s="136"/>
      <c r="D11" s="73"/>
      <c r="E11" s="73"/>
    </row>
    <row r="12" spans="1:5" ht="24" thickTop="1" thickBot="1" x14ac:dyDescent="0.3">
      <c r="A12" s="24" t="s">
        <v>261</v>
      </c>
      <c r="B12" s="80"/>
      <c r="C12" s="137"/>
      <c r="D12" s="73"/>
      <c r="E12" s="73"/>
    </row>
    <row r="13" spans="1:5" ht="18.75" customHeight="1" thickTop="1" thickBot="1" x14ac:dyDescent="0.3">
      <c r="A13" s="14"/>
      <c r="B13" s="74"/>
      <c r="C13" s="74"/>
      <c r="D13" s="75"/>
      <c r="E13" s="75"/>
    </row>
    <row r="14" spans="1:5" ht="18.75" customHeight="1" thickBot="1" x14ac:dyDescent="0.3">
      <c r="A14" s="14"/>
      <c r="B14" s="74"/>
      <c r="C14" s="74"/>
      <c r="D14" s="75"/>
      <c r="E14" s="75"/>
    </row>
    <row r="15" spans="1:5" ht="18.75" customHeight="1" thickBot="1" x14ac:dyDescent="0.3">
      <c r="A15" s="14"/>
      <c r="B15" s="74"/>
      <c r="C15" s="74"/>
      <c r="D15" s="75"/>
      <c r="E15" s="75"/>
    </row>
    <row r="16" spans="1:5" ht="18.75" customHeight="1" thickBot="1" x14ac:dyDescent="0.3">
      <c r="A16" s="24"/>
      <c r="B16" s="80"/>
      <c r="C16" s="80"/>
      <c r="D16" s="73"/>
      <c r="E16" s="73"/>
    </row>
    <row r="17" spans="1:5" ht="15.75" thickTop="1" x14ac:dyDescent="0.25">
      <c r="A17" s="20"/>
      <c r="B17" s="20"/>
      <c r="C17" s="20"/>
      <c r="D17" s="20"/>
      <c r="E17" s="20"/>
    </row>
    <row r="18" spans="1:5" x14ac:dyDescent="0.25">
      <c r="A18" s="322" t="s">
        <v>1481</v>
      </c>
    </row>
  </sheetData>
  <mergeCells count="5"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10"/>
  <sheetViews>
    <sheetView showGridLines="0" zoomScaleNormal="100" workbookViewId="0">
      <selection activeCell="A29" sqref="A29"/>
    </sheetView>
  </sheetViews>
  <sheetFormatPr defaultRowHeight="15" x14ac:dyDescent="0.2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ht="17.25" thickBot="1" x14ac:dyDescent="0.35">
      <c r="A1" s="1" t="s">
        <v>265</v>
      </c>
    </row>
    <row r="2" spans="1:3" ht="16.5" thickTop="1" thickBot="1" x14ac:dyDescent="0.3">
      <c r="A2" s="383" t="s">
        <v>266</v>
      </c>
      <c r="B2" s="361" t="s">
        <v>267</v>
      </c>
      <c r="C2" s="362"/>
    </row>
    <row r="3" spans="1:3" ht="24" thickTop="1" thickBot="1" x14ac:dyDescent="0.3">
      <c r="A3" s="385"/>
      <c r="B3" s="65" t="s">
        <v>2</v>
      </c>
      <c r="C3" s="65" t="s">
        <v>3</v>
      </c>
    </row>
    <row r="4" spans="1:3" ht="20.25" customHeight="1" thickTop="1" thickBot="1" x14ac:dyDescent="0.3">
      <c r="A4" s="14" t="s">
        <v>268</v>
      </c>
      <c r="B4" s="74"/>
      <c r="C4" s="75"/>
    </row>
    <row r="5" spans="1:3" ht="20.25" customHeight="1" thickBot="1" x14ac:dyDescent="0.3">
      <c r="A5" s="14" t="s">
        <v>269</v>
      </c>
      <c r="B5" s="74"/>
      <c r="C5" s="75"/>
    </row>
    <row r="6" spans="1:3" ht="20.25" customHeight="1" thickBot="1" x14ac:dyDescent="0.3">
      <c r="A6" s="14" t="s">
        <v>270</v>
      </c>
      <c r="B6" s="74"/>
      <c r="C6" s="75"/>
    </row>
    <row r="7" spans="1:3" ht="20.25" customHeight="1" thickBot="1" x14ac:dyDescent="0.3">
      <c r="A7" s="14" t="s">
        <v>271</v>
      </c>
      <c r="B7" s="74"/>
      <c r="C7" s="75"/>
    </row>
    <row r="8" spans="1:3" ht="20.25" customHeight="1" thickBot="1" x14ac:dyDescent="0.3">
      <c r="A8" s="24" t="s">
        <v>14</v>
      </c>
      <c r="B8" s="80">
        <f>SUM(B4:B7)</f>
        <v>0</v>
      </c>
      <c r="C8" s="73">
        <f>SUM(C4:C7)</f>
        <v>0</v>
      </c>
    </row>
    <row r="9" spans="1:3" ht="17.25" thickTop="1" x14ac:dyDescent="0.3">
      <c r="A9" s="1"/>
    </row>
    <row r="10" spans="1:3" x14ac:dyDescent="0.25">
      <c r="A10" s="322" t="s">
        <v>1481</v>
      </c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9"/>
  <sheetViews>
    <sheetView showGridLines="0" zoomScaleNormal="100" workbookViewId="0">
      <selection activeCell="A9" sqref="A9"/>
    </sheetView>
  </sheetViews>
  <sheetFormatPr defaultRowHeight="15" x14ac:dyDescent="0.25"/>
  <cols>
    <col min="1" max="1" width="18.85546875" customWidth="1"/>
    <col min="2" max="7" width="11.28515625" customWidth="1"/>
  </cols>
  <sheetData>
    <row r="1" spans="1:7" ht="17.25" thickBot="1" x14ac:dyDescent="0.35">
      <c r="A1" s="1" t="s">
        <v>272</v>
      </c>
    </row>
    <row r="2" spans="1:7" ht="24.75" customHeight="1" thickTop="1" thickBot="1" x14ac:dyDescent="0.3">
      <c r="A2" s="383" t="s">
        <v>1</v>
      </c>
      <c r="B2" s="380" t="s">
        <v>2</v>
      </c>
      <c r="C2" s="381"/>
      <c r="D2" s="382"/>
      <c r="E2" s="361" t="s">
        <v>3</v>
      </c>
      <c r="F2" s="367"/>
      <c r="G2" s="362"/>
    </row>
    <row r="3" spans="1:7" ht="16.5" customHeight="1" thickTop="1" thickBot="1" x14ac:dyDescent="0.3">
      <c r="A3" s="384"/>
      <c r="B3" s="380" t="s">
        <v>184</v>
      </c>
      <c r="C3" s="381"/>
      <c r="D3" s="382"/>
      <c r="E3" s="380" t="s">
        <v>184</v>
      </c>
      <c r="F3" s="381"/>
      <c r="G3" s="382"/>
    </row>
    <row r="4" spans="1:7" s="4" customFormat="1" ht="45" customHeight="1" thickTop="1" thickBot="1" x14ac:dyDescent="0.3">
      <c r="A4" s="385"/>
      <c r="B4" s="21" t="s">
        <v>185</v>
      </c>
      <c r="C4" s="21" t="s">
        <v>186</v>
      </c>
      <c r="D4" s="21" t="s">
        <v>187</v>
      </c>
      <c r="E4" s="21" t="s">
        <v>185</v>
      </c>
      <c r="F4" s="21" t="s">
        <v>186</v>
      </c>
      <c r="G4" s="21" t="s">
        <v>187</v>
      </c>
    </row>
    <row r="5" spans="1:7" ht="18.75" customHeight="1" thickTop="1" thickBot="1" x14ac:dyDescent="0.3">
      <c r="A5" s="69" t="s">
        <v>188</v>
      </c>
      <c r="B5" s="130"/>
      <c r="C5" s="130"/>
      <c r="D5" s="130"/>
      <c r="E5" s="130"/>
      <c r="F5" s="130"/>
      <c r="G5" s="72"/>
    </row>
    <row r="6" spans="1:7" ht="18.75" customHeight="1" thickBot="1" x14ac:dyDescent="0.3">
      <c r="A6" s="66" t="s">
        <v>273</v>
      </c>
      <c r="B6" s="74"/>
      <c r="C6" s="74"/>
      <c r="D6" s="74"/>
      <c r="E6" s="74"/>
      <c r="F6" s="74"/>
      <c r="G6" s="75"/>
    </row>
    <row r="7" spans="1:7" ht="18.75" customHeight="1" thickBot="1" x14ac:dyDescent="0.3">
      <c r="A7" s="67" t="s">
        <v>14</v>
      </c>
      <c r="B7" s="80">
        <f>B5+B6</f>
        <v>0</v>
      </c>
      <c r="C7" s="80">
        <f t="shared" ref="C7:G7" si="0">C5+C6</f>
        <v>0</v>
      </c>
      <c r="D7" s="80">
        <f t="shared" si="0"/>
        <v>0</v>
      </c>
      <c r="E7" s="80">
        <f t="shared" si="0"/>
        <v>0</v>
      </c>
      <c r="F7" s="80">
        <f t="shared" si="0"/>
        <v>0</v>
      </c>
      <c r="G7" s="73">
        <f t="shared" si="0"/>
        <v>0</v>
      </c>
    </row>
    <row r="8" spans="1:7" ht="15.75" thickTop="1" x14ac:dyDescent="0.25"/>
    <row r="9" spans="1:7" x14ac:dyDescent="0.25">
      <c r="A9" s="322" t="s">
        <v>1481</v>
      </c>
    </row>
  </sheetData>
  <mergeCells count="5">
    <mergeCell ref="B2:D2"/>
    <mergeCell ref="E2:G2"/>
    <mergeCell ref="B3:D3"/>
    <mergeCell ref="E3:G3"/>
    <mergeCell ref="A2:A4"/>
  </mergeCells>
  <pageMargins left="0.7" right="0.7" top="0.75" bottom="0.75" header="0.3" footer="0.3"/>
  <pageSetup paperSize="9" orientation="portrait" horizontalDpi="300" verticalDpi="3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9"/>
  <sheetViews>
    <sheetView showGridLines="0" zoomScaleNormal="100" workbookViewId="0">
      <selection activeCell="G21" sqref="G21"/>
    </sheetView>
  </sheetViews>
  <sheetFormatPr defaultRowHeight="15" x14ac:dyDescent="0.25"/>
  <cols>
    <col min="1" max="1" width="16.7109375" customWidth="1"/>
    <col min="2" max="7" width="11.5703125" customWidth="1"/>
  </cols>
  <sheetData>
    <row r="1" spans="1:10" ht="17.25" thickBot="1" x14ac:dyDescent="0.35">
      <c r="A1" s="1" t="s">
        <v>274</v>
      </c>
    </row>
    <row r="2" spans="1:10" ht="44.25" customHeight="1" thickTop="1" thickBot="1" x14ac:dyDescent="0.3">
      <c r="A2" s="383" t="s">
        <v>275</v>
      </c>
      <c r="B2" s="361" t="s">
        <v>276</v>
      </c>
      <c r="C2" s="362"/>
      <c r="D2" s="361" t="s">
        <v>277</v>
      </c>
      <c r="E2" s="362"/>
      <c r="F2" s="361" t="s">
        <v>278</v>
      </c>
      <c r="G2" s="362"/>
    </row>
    <row r="3" spans="1:10" s="155" customFormat="1" ht="57.75" thickTop="1" thickBot="1" x14ac:dyDescent="0.3">
      <c r="A3" s="385"/>
      <c r="B3" s="57" t="s">
        <v>2</v>
      </c>
      <c r="C3" s="149" t="s">
        <v>484</v>
      </c>
      <c r="D3" s="149" t="s">
        <v>2</v>
      </c>
      <c r="E3" s="149" t="s">
        <v>484</v>
      </c>
      <c r="F3" s="149" t="s">
        <v>2</v>
      </c>
      <c r="G3" s="149" t="s">
        <v>484</v>
      </c>
    </row>
    <row r="4" spans="1:10" ht="18.75" customHeight="1" thickTop="1" thickBot="1" x14ac:dyDescent="0.3">
      <c r="A4" s="99" t="s">
        <v>93</v>
      </c>
      <c r="B4" s="75">
        <v>5503420</v>
      </c>
      <c r="C4" s="75">
        <v>5577160</v>
      </c>
      <c r="D4" s="75"/>
      <c r="E4" s="75"/>
      <c r="F4" s="75"/>
      <c r="G4" s="75"/>
    </row>
    <row r="5" spans="1:10" ht="18.75" customHeight="1" thickBot="1" x14ac:dyDescent="0.3">
      <c r="A5" s="99" t="s">
        <v>1495</v>
      </c>
      <c r="B5" s="75">
        <v>105610</v>
      </c>
      <c r="C5" s="75">
        <v>141088</v>
      </c>
      <c r="D5" s="75"/>
      <c r="E5" s="75"/>
      <c r="F5" s="75"/>
      <c r="G5" s="75"/>
    </row>
    <row r="6" spans="1:10" ht="18.75" customHeight="1" thickBot="1" x14ac:dyDescent="0.3">
      <c r="A6" s="99"/>
      <c r="B6" s="75"/>
      <c r="C6" s="75"/>
      <c r="D6" s="75"/>
      <c r="E6" s="75"/>
      <c r="F6" s="75"/>
      <c r="G6" s="75"/>
    </row>
    <row r="7" spans="1:10" ht="18.75" customHeight="1" thickBot="1" x14ac:dyDescent="0.3">
      <c r="A7" s="99"/>
      <c r="B7" s="75"/>
      <c r="C7" s="75"/>
      <c r="D7" s="75"/>
      <c r="E7" s="75"/>
      <c r="F7" s="75"/>
      <c r="G7" s="75"/>
    </row>
    <row r="8" spans="1:10" ht="18.75" customHeight="1" thickBot="1" x14ac:dyDescent="0.3">
      <c r="A8" s="67" t="s">
        <v>14</v>
      </c>
      <c r="B8" s="73">
        <f t="shared" ref="B8:G8" si="0">SUM(B4:B7)</f>
        <v>5609030</v>
      </c>
      <c r="C8" s="73">
        <f t="shared" si="0"/>
        <v>5718248</v>
      </c>
      <c r="D8" s="73">
        <f t="shared" si="0"/>
        <v>0</v>
      </c>
      <c r="E8" s="73">
        <f t="shared" si="0"/>
        <v>0</v>
      </c>
      <c r="F8" s="73">
        <f t="shared" si="0"/>
        <v>0</v>
      </c>
      <c r="G8" s="73">
        <f t="shared" si="0"/>
        <v>0</v>
      </c>
      <c r="J8" s="167" t="s">
        <v>514</v>
      </c>
    </row>
    <row r="9" spans="1:10" ht="15.75" thickTop="1" x14ac:dyDescent="0.25"/>
  </sheetData>
  <mergeCells count="4">
    <mergeCell ref="A2:A3"/>
    <mergeCell ref="B2:C2"/>
    <mergeCell ref="D2:E2"/>
    <mergeCell ref="F2:G2"/>
  </mergeCells>
  <pageMargins left="0.7" right="0.7" top="0.75" bottom="0.75" header="0.3" footer="0.3"/>
  <pageSetup paperSize="9" orientation="portrait" horizontalDpi="300" verticalDpi="3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3"/>
  <sheetViews>
    <sheetView showGridLines="0" zoomScaleNormal="100" workbookViewId="0">
      <selection activeCell="H14" sqref="H14"/>
    </sheetView>
  </sheetViews>
  <sheetFormatPr defaultRowHeight="15" x14ac:dyDescent="0.25"/>
  <cols>
    <col min="1" max="1" width="24.5703125" customWidth="1"/>
    <col min="2" max="6" width="12.28515625" customWidth="1"/>
    <col min="7" max="7" width="13" customWidth="1"/>
  </cols>
  <sheetData>
    <row r="1" spans="1:10" ht="17.25" thickBot="1" x14ac:dyDescent="0.35">
      <c r="A1" s="1" t="s">
        <v>279</v>
      </c>
    </row>
    <row r="2" spans="1:10" ht="33" customHeight="1" thickTop="1" thickBot="1" x14ac:dyDescent="0.3">
      <c r="A2" s="383" t="s">
        <v>131</v>
      </c>
      <c r="B2" s="37" t="s">
        <v>2</v>
      </c>
      <c r="C2" s="361" t="s">
        <v>3</v>
      </c>
      <c r="D2" s="362"/>
      <c r="E2" s="361" t="s">
        <v>280</v>
      </c>
      <c r="F2" s="362"/>
    </row>
    <row r="3" spans="1:10" ht="45" customHeight="1" thickTop="1" thickBot="1" x14ac:dyDescent="0.3">
      <c r="A3" s="385"/>
      <c r="B3" s="21" t="s">
        <v>281</v>
      </c>
      <c r="C3" s="21" t="s">
        <v>281</v>
      </c>
      <c r="D3" s="21" t="s">
        <v>282</v>
      </c>
      <c r="E3" s="21" t="s">
        <v>2</v>
      </c>
      <c r="F3" s="21" t="s">
        <v>486</v>
      </c>
    </row>
    <row r="4" spans="1:10" ht="35.25" thickTop="1" thickBot="1" x14ac:dyDescent="0.3">
      <c r="A4" s="112" t="s">
        <v>485</v>
      </c>
      <c r="B4" s="255">
        <f>SUMIF(HK!A:A,"121*",HK!K:K)-SUMIF(HK!A:A,"121*",HK!L:L)+SUMIF(HK!A:A,"122*",HK!K:K)-SUMIF(HK!A:A,"122*",HK!L:L)</f>
        <v>0</v>
      </c>
      <c r="C4" s="255">
        <f>SUMIF(HKM!A:A,"121*",HKM!K:K)-SUMIF(HKM!A:A,"121*",HKM!L:L)+SUMIF(HKM!A:A,"122*",HKM!K:K)-SUMIF(HKM!A:A,"122*",HKM!L:L)</f>
        <v>0</v>
      </c>
      <c r="D4" s="255">
        <f>SUMIF(HKM!A:A,"121*",HKM!C:C)-SUMIF(HKM!A:A,"121*",HKM!D:D)+SUMIF(HKM!A:A,"122*",HKM!C:C)-SUMIF(HKM!A:A,"122*",HKM!D:D)</f>
        <v>0</v>
      </c>
      <c r="E4" s="255">
        <f>SUMIF(HK!A:A,"611*",HK!L:L)-SUMIF(HK!A:A,"611*",HK!K:K)+SUMIF(HK!A:A,"612*",HK!L:L)-SUMIF(HK!A:A,"611*",HK!K:K)</f>
        <v>0</v>
      </c>
      <c r="F4" s="255">
        <f>SUMIF(HKM!A:A,"611*",HKM!L:L)-SUMIF(HKM!A:A,"611*",HKM!K:K)+SUMIF(HKM!A:A,"612*",HKM!L:L)-SUMIF(HKM!A:A,"612*",HKM!K:K)</f>
        <v>0</v>
      </c>
      <c r="G4" s="256"/>
      <c r="H4" s="252"/>
      <c r="I4" s="256"/>
      <c r="J4" s="256"/>
    </row>
    <row r="5" spans="1:10" ht="15.75" thickBot="1" x14ac:dyDescent="0.3">
      <c r="A5" s="109" t="s">
        <v>91</v>
      </c>
      <c r="B5" s="255">
        <f>SUMIF(HK!A:A,"123*",HK!K:K)-SUMIF(HK!A:A,"123*",HK!L:L)</f>
        <v>0</v>
      </c>
      <c r="C5" s="255">
        <f>SUMIF(HKM!A:A,"123*",HKM!K:K)-SUMIF(HKM!A:A,"123*",HKM!L:L)</f>
        <v>0</v>
      </c>
      <c r="D5" s="255">
        <f>SUMIF(HKM!A:A,"123*",HKM!C:C)</f>
        <v>0</v>
      </c>
      <c r="E5" s="255">
        <f>SUMIF(HK!A:A,"613*",HK!L:L)-SUMIF(HK!A:A,"613*",HK!K:K)</f>
        <v>0</v>
      </c>
      <c r="F5" s="255">
        <f>SUMIF(HKM!A:A,"613*",HKM!L:L)-SUMIF(HKM!A:A,"613*",HKM!K:K)</f>
        <v>0</v>
      </c>
      <c r="G5" s="256"/>
      <c r="H5" s="252"/>
      <c r="I5" s="256"/>
      <c r="J5" s="256"/>
    </row>
    <row r="6" spans="1:10" ht="15.75" thickBot="1" x14ac:dyDescent="0.3">
      <c r="A6" s="14" t="s">
        <v>283</v>
      </c>
      <c r="B6" s="255">
        <f>SUMIF(HK!A:A,"124*",HK!K:K)-SUMIF(HK!A:A,"124*",HK!L:L)</f>
        <v>0</v>
      </c>
      <c r="C6" s="255">
        <f>SUMIF(HKM!A:A,"124*",HKM!K:K)-SUMIF(HKM!A:A,"124*",HKM!L:L)</f>
        <v>0</v>
      </c>
      <c r="D6" s="255">
        <f>SUMIF(HKM!A:A,"124*",HKM!C:C)-SUMIF(HKM!A:A,"124*",HKM!D:D)</f>
        <v>0</v>
      </c>
      <c r="E6" s="255">
        <f>SUMIF(HK!A:A,"614*",HK!L:L)-SUMIF(HK!A:A,"614*",HK!K:K)</f>
        <v>0</v>
      </c>
      <c r="F6" s="255">
        <f>SUMIF(HKM!A:A,"614*",HKM!L:L)-SUMIF(HKM!A:A,"614*",HKM!K:K)</f>
        <v>0</v>
      </c>
      <c r="G6" s="256"/>
      <c r="H6" s="252"/>
      <c r="I6" s="256"/>
      <c r="J6" s="256"/>
    </row>
    <row r="7" spans="1:10" ht="19.5" customHeight="1" thickBot="1" x14ac:dyDescent="0.3">
      <c r="A7" s="14" t="s">
        <v>14</v>
      </c>
      <c r="B7" s="276"/>
      <c r="C7" s="276"/>
      <c r="D7" s="301"/>
      <c r="E7" s="271"/>
      <c r="F7" s="271"/>
      <c r="G7" s="256"/>
      <c r="H7" s="302"/>
      <c r="I7" s="256"/>
      <c r="J7" s="256"/>
    </row>
    <row r="8" spans="1:10" ht="15.75" thickBot="1" x14ac:dyDescent="0.3">
      <c r="A8" s="14" t="s">
        <v>284</v>
      </c>
      <c r="B8" s="312" t="s">
        <v>18</v>
      </c>
      <c r="C8" s="312" t="s">
        <v>18</v>
      </c>
      <c r="D8" s="313" t="s">
        <v>18</v>
      </c>
      <c r="E8" s="255">
        <f>SUMIF(HK!A:A,"549*",HK!K:K)-SUMIF(HK!A:A,"549*",HK!L:L)</f>
        <v>0</v>
      </c>
      <c r="F8" s="255">
        <f>SUMIF(HKM!A:A,"549*",HKM!K:K)-SUMIF(HKM!A:A,"549*",HKM!L:L)</f>
        <v>0</v>
      </c>
      <c r="G8" s="256"/>
      <c r="H8" s="252"/>
      <c r="I8" s="256"/>
      <c r="J8" s="256"/>
    </row>
    <row r="9" spans="1:10" ht="15.75" thickBot="1" x14ac:dyDescent="0.3">
      <c r="A9" s="14" t="s">
        <v>285</v>
      </c>
      <c r="B9" s="312" t="s">
        <v>18</v>
      </c>
      <c r="C9" s="312" t="s">
        <v>18</v>
      </c>
      <c r="D9" s="313" t="s">
        <v>18</v>
      </c>
      <c r="E9" s="255">
        <f>SUMIF(HK!A:A,"513*",HK!K:K)-SUMIF(HK!A:A,"513*",HK!L:L)</f>
        <v>2603.37</v>
      </c>
      <c r="F9" s="255">
        <f>SUMIF(HKM!A:A,"513*",HKM!K:K)-SUMIF(HKM!A:A,"513*",HKM!L:L)</f>
        <v>2249.59</v>
      </c>
      <c r="G9" s="256"/>
      <c r="H9" s="252"/>
      <c r="I9" s="256"/>
      <c r="J9" s="256"/>
    </row>
    <row r="10" spans="1:10" ht="15.75" thickBot="1" x14ac:dyDescent="0.3">
      <c r="A10" s="14" t="s">
        <v>286</v>
      </c>
      <c r="B10" s="312" t="s">
        <v>18</v>
      </c>
      <c r="C10" s="312" t="s">
        <v>18</v>
      </c>
      <c r="D10" s="313" t="s">
        <v>18</v>
      </c>
      <c r="E10" s="255">
        <f>SUMIF(HK!A:A,"543*",HK!K:K)-SUMIF(HK!A:A,"543*",HK!L:L)</f>
        <v>1282.5</v>
      </c>
      <c r="F10" s="255">
        <f>SUMIF(HKM!A:A,"543*",HKM!K:K)-SUMIF(HKM!A:A,"543*",HKM!L:L)</f>
        <v>0</v>
      </c>
      <c r="G10" s="256"/>
      <c r="H10" s="252"/>
      <c r="I10" s="256"/>
      <c r="J10" s="256"/>
    </row>
    <row r="11" spans="1:10" ht="19.5" customHeight="1" thickBot="1" x14ac:dyDescent="0.3">
      <c r="A11" s="16" t="s">
        <v>287</v>
      </c>
      <c r="B11" s="314" t="s">
        <v>18</v>
      </c>
      <c r="C11" s="314" t="s">
        <v>18</v>
      </c>
      <c r="D11" s="315" t="s">
        <v>18</v>
      </c>
      <c r="E11" s="272"/>
      <c r="F11" s="272"/>
      <c r="G11" s="256"/>
      <c r="H11" s="302"/>
      <c r="I11" s="256"/>
      <c r="J11" s="256"/>
    </row>
    <row r="12" spans="1:10" ht="35.25" thickTop="1" thickBot="1" x14ac:dyDescent="0.3">
      <c r="A12" s="24" t="s">
        <v>288</v>
      </c>
      <c r="B12" s="314" t="s">
        <v>18</v>
      </c>
      <c r="C12" s="314" t="s">
        <v>18</v>
      </c>
      <c r="D12" s="315" t="s">
        <v>18</v>
      </c>
      <c r="E12" s="262">
        <f>SUMIF(VZaS!C:C,"006",VZaS!D:D)</f>
        <v>0</v>
      </c>
      <c r="F12" s="262">
        <f>SUMIF(VZaS!C:C,"006",VZaS!E:E)</f>
        <v>0</v>
      </c>
      <c r="G12" s="256"/>
      <c r="H12" s="303"/>
      <c r="I12" s="256"/>
      <c r="J12" s="256"/>
    </row>
    <row r="13" spans="1:10" ht="15.75" thickTop="1" x14ac:dyDescent="0.25"/>
  </sheetData>
  <mergeCells count="3">
    <mergeCell ref="A2:A3"/>
    <mergeCell ref="C2:D2"/>
    <mergeCell ref="E2:F2"/>
  </mergeCells>
  <pageMargins left="0.7" right="0.7" top="0.75" bottom="0.75" header="0.3" footer="0.3"/>
  <pageSetup paperSize="9" orientation="portrait" horizontalDpi="300" verticalDpi="3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0"/>
  <sheetViews>
    <sheetView showGridLines="0" zoomScaleNormal="100" workbookViewId="0">
      <selection activeCell="E9" sqref="E9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5" ht="116.25" thickBot="1" x14ac:dyDescent="0.35">
      <c r="A1" s="157" t="s">
        <v>289</v>
      </c>
    </row>
    <row r="2" spans="1:5" ht="21" customHeight="1" thickTop="1" thickBot="1" x14ac:dyDescent="0.3">
      <c r="A2" s="57" t="s">
        <v>131</v>
      </c>
      <c r="B2" s="37" t="s">
        <v>2</v>
      </c>
      <c r="C2" s="37" t="s">
        <v>3</v>
      </c>
    </row>
    <row r="3" spans="1:5" ht="24" thickTop="1" thickBot="1" x14ac:dyDescent="0.3">
      <c r="A3" s="43" t="s">
        <v>487</v>
      </c>
      <c r="B3" s="262">
        <f>SUMIF(VZaS!C:C,"007",VZaS!D:D)</f>
        <v>0</v>
      </c>
      <c r="C3" s="262">
        <f>SUMIF(VZaS!C:C,"007",VZaS!E:E)</f>
        <v>0</v>
      </c>
      <c r="D3" s="256"/>
      <c r="E3" s="298"/>
    </row>
    <row r="4" spans="1:5" ht="18.75" customHeight="1" thickBot="1" x14ac:dyDescent="0.3">
      <c r="A4" s="14"/>
      <c r="B4" s="271"/>
      <c r="C4" s="271"/>
      <c r="D4" s="256"/>
      <c r="E4" s="256"/>
    </row>
    <row r="5" spans="1:5" ht="18.75" customHeight="1" thickBot="1" x14ac:dyDescent="0.3">
      <c r="A5" s="14"/>
      <c r="B5" s="271"/>
      <c r="C5" s="271"/>
      <c r="D5" s="256"/>
      <c r="E5" s="256"/>
    </row>
    <row r="6" spans="1:5" ht="34.5" thickBot="1" x14ac:dyDescent="0.3">
      <c r="A6" s="43" t="s">
        <v>290</v>
      </c>
      <c r="B6" s="262">
        <f>SUMIF(VZaS!C:C,"019",VZaS!D:D)+SUMIF(VZaS!C:C,"022",VZaS!D:D)</f>
        <v>28484.2</v>
      </c>
      <c r="C6" s="262">
        <f>SUMIF(VZaS!C:C,"019",VZaS!E:E)+SUMIF(VZaS!C:C,"022",VZaS!E:E)</f>
        <v>25119.18</v>
      </c>
      <c r="D6" s="256"/>
      <c r="E6" s="298"/>
    </row>
    <row r="7" spans="1:5" ht="18.75" customHeight="1" thickBot="1" x14ac:dyDescent="0.3">
      <c r="A7" s="14" t="s">
        <v>1509</v>
      </c>
      <c r="B7" s="271">
        <v>5216</v>
      </c>
      <c r="C7" s="271">
        <v>5171</v>
      </c>
      <c r="D7" s="256"/>
      <c r="E7" s="256"/>
    </row>
    <row r="8" spans="1:5" ht="18.75" customHeight="1" thickBot="1" x14ac:dyDescent="0.3">
      <c r="A8" s="14" t="s">
        <v>1497</v>
      </c>
      <c r="B8" s="271">
        <v>7539</v>
      </c>
      <c r="C8" s="271">
        <v>8082</v>
      </c>
      <c r="D8" s="256"/>
      <c r="E8" s="256"/>
    </row>
    <row r="9" spans="1:5" ht="18.75" customHeight="1" thickBot="1" x14ac:dyDescent="0.3">
      <c r="A9" s="14"/>
      <c r="B9" s="271"/>
      <c r="C9" s="271"/>
      <c r="D9" s="256"/>
      <c r="E9" s="256"/>
    </row>
    <row r="10" spans="1:5" ht="47.25" customHeight="1" thickBot="1" x14ac:dyDescent="0.3">
      <c r="A10" s="43" t="s">
        <v>291</v>
      </c>
      <c r="B10" s="255">
        <f>SUMIF(VZaS!C:C,"027",VZaS!D:D)+SUMIF(VZaS!C:C,"029",VZaS!D:D)+SUMIF(VZaS!C:C,"033",VZaS!D:D)+SUMIF(VZaS!C:C,"035",VZaS!D:D)+SUMIF(VZaS!C:C,"038",VZaS!D:D)+SUMIF(VZaS!C:C,"040",VZaS!D:D)+SUMIF(VZaS!C:C,"042",VZaS!D:D)+SUMIF(VZaS!C:C,"044",VZaS!D:D)</f>
        <v>320.72999999999996</v>
      </c>
      <c r="C10" s="255">
        <f>SUMIF(VZaS!C:C,"027",VZaS!E:E)+SUMIF(VZaS!C:C,"029",VZaS!E:E)+SUMIF(VZaS!C:C,"033",VZaS!E:E)+SUMIF(VZaS!C:C,"035",VZaS!E:E)+SUMIF(VZaS!C:C,"038",VZaS!E:E)+SUMIF(VZaS!C:C,"040",VZaS!E:E)+SUMIF(VZaS!C:C,"042",VZaS!E:E)+SUMIF(VZaS!C:C,"044",VZaS!E:E)</f>
        <v>82.16</v>
      </c>
      <c r="D10" s="256"/>
      <c r="E10" s="298"/>
    </row>
    <row r="11" spans="1:5" ht="18.75" customHeight="1" thickBot="1" x14ac:dyDescent="0.3">
      <c r="A11" s="117" t="s">
        <v>292</v>
      </c>
      <c r="B11" s="262">
        <f>SUMIF(VZaS!C:C,"040",VZaS!D:D)</f>
        <v>7.54</v>
      </c>
      <c r="C11" s="262">
        <f>SUMIF(VZaS!C:C,"040",VZaS!E:E)</f>
        <v>75.62</v>
      </c>
      <c r="D11" s="256"/>
      <c r="E11" s="298"/>
    </row>
    <row r="12" spans="1:5" ht="23.25" thickBot="1" x14ac:dyDescent="0.3">
      <c r="A12" s="14" t="s">
        <v>293</v>
      </c>
      <c r="B12" s="271">
        <v>0</v>
      </c>
      <c r="C12" s="271">
        <v>0</v>
      </c>
      <c r="D12" s="256"/>
      <c r="E12" s="256"/>
    </row>
    <row r="13" spans="1:5" ht="24" customHeight="1" thickBot="1" x14ac:dyDescent="0.3">
      <c r="A13" s="117" t="s">
        <v>294</v>
      </c>
      <c r="B13" s="304"/>
      <c r="C13" s="304"/>
      <c r="D13" s="256"/>
      <c r="E13" s="256"/>
    </row>
    <row r="14" spans="1:5" ht="18.75" customHeight="1" thickBot="1" x14ac:dyDescent="0.3">
      <c r="A14" s="14" t="s">
        <v>1510</v>
      </c>
      <c r="B14" s="271">
        <v>252</v>
      </c>
      <c r="C14" s="271"/>
      <c r="D14" s="256"/>
      <c r="E14" s="256"/>
    </row>
    <row r="15" spans="1:5" ht="18.75" customHeight="1" thickBot="1" x14ac:dyDescent="0.3">
      <c r="A15" s="14" t="s">
        <v>1496</v>
      </c>
      <c r="B15" s="271">
        <v>53</v>
      </c>
      <c r="C15" s="271">
        <v>1</v>
      </c>
      <c r="D15" s="256"/>
      <c r="E15" s="256"/>
    </row>
    <row r="16" spans="1:5" ht="18.75" customHeight="1" thickBot="1" x14ac:dyDescent="0.3">
      <c r="A16" s="14"/>
      <c r="B16" s="271"/>
      <c r="C16" s="271"/>
      <c r="D16" s="256"/>
      <c r="E16" s="256"/>
    </row>
    <row r="17" spans="1:5" ht="18.75" customHeight="1" thickBot="1" x14ac:dyDescent="0.3">
      <c r="A17" s="43" t="s">
        <v>295</v>
      </c>
      <c r="B17" s="262">
        <f>SUMIF(VZaS!C:C,"052",VZaS!D:D)</f>
        <v>0</v>
      </c>
      <c r="C17" s="262">
        <f>SUMIF(VZaS!C:C,"052",VZaS!E:E)</f>
        <v>0</v>
      </c>
      <c r="D17" s="256"/>
      <c r="E17" s="298"/>
    </row>
    <row r="18" spans="1:5" ht="18.75" customHeight="1" thickBot="1" x14ac:dyDescent="0.3">
      <c r="A18" s="112"/>
      <c r="B18" s="305"/>
      <c r="C18" s="305"/>
      <c r="D18" s="256"/>
      <c r="E18" s="256"/>
    </row>
    <row r="19" spans="1:5" ht="18.75" customHeight="1" thickBot="1" x14ac:dyDescent="0.3">
      <c r="A19" s="92"/>
      <c r="B19" s="306"/>
      <c r="C19" s="306"/>
      <c r="D19" s="256"/>
      <c r="E19" s="256"/>
    </row>
    <row r="20" spans="1:5" ht="15.75" thickTop="1" x14ac:dyDescent="0.25">
      <c r="A20" s="90"/>
      <c r="B20" s="20"/>
      <c r="C20" s="20"/>
    </row>
  </sheetData>
  <pageMargins left="0.7" right="0.7" top="0.75" bottom="0.75" header="0.3" footer="0.3"/>
  <pageSetup paperSize="9" orientation="portrait" horizontalDpi="300" verticalDpi="3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0"/>
  <sheetViews>
    <sheetView showGridLines="0" zoomScaleNormal="100" workbookViewId="0">
      <selection activeCell="F16" sqref="F16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7" ht="17.25" thickBot="1" x14ac:dyDescent="0.35">
      <c r="A1" s="1" t="s">
        <v>296</v>
      </c>
    </row>
    <row r="2" spans="1:7" ht="26.25" customHeight="1" thickTop="1" thickBot="1" x14ac:dyDescent="0.3">
      <c r="A2" s="57" t="s">
        <v>131</v>
      </c>
      <c r="B2" s="37" t="s">
        <v>2</v>
      </c>
      <c r="C2" s="37" t="s">
        <v>3</v>
      </c>
    </row>
    <row r="3" spans="1:7" ht="18.75" customHeight="1" thickTop="1" thickBot="1" x14ac:dyDescent="0.3">
      <c r="A3" s="66" t="s">
        <v>297</v>
      </c>
      <c r="B3" s="262">
        <f>SUMIF(HK!A:A,"601*",HK!L:L)-SUMIF(HK!A:A,"601*",HK!K:K)</f>
        <v>0</v>
      </c>
      <c r="C3" s="262">
        <f>SUMIF(HKM!A:A,"601*",HKM!L:L)-SUMIF(HKM!A:A,"601*",HKM!K:K)</f>
        <v>0</v>
      </c>
      <c r="D3" s="256"/>
      <c r="E3" s="298"/>
      <c r="G3" s="167"/>
    </row>
    <row r="4" spans="1:7" ht="18.75" customHeight="1" thickBot="1" x14ac:dyDescent="0.3">
      <c r="A4" s="66" t="s">
        <v>298</v>
      </c>
      <c r="B4" s="262">
        <f>SUMIF(HK!A:A,"602*",HK!L:L)-SUMIF(HK!A:A,"602*",HK!K:K)</f>
        <v>105610.37</v>
      </c>
      <c r="C4" s="262">
        <f>SUMIF(HKM!A:A,"602*",HKM!L:L)-SUMIF(HKM!A:A,"602*",HKM!K:K)</f>
        <v>141087.95000000001</v>
      </c>
      <c r="D4" s="256"/>
      <c r="E4" s="298"/>
      <c r="G4" s="167"/>
    </row>
    <row r="5" spans="1:7" ht="18.75" customHeight="1" thickBot="1" x14ac:dyDescent="0.3">
      <c r="A5" s="66" t="s">
        <v>299</v>
      </c>
      <c r="B5" s="262">
        <f>SUMIF(HK!A:A,"604*",HK!L:L)-SUMIF(HK!A:A,"604*",HK!K:K)</f>
        <v>5503420.04</v>
      </c>
      <c r="C5" s="262">
        <f>SUMIF(HKM!A:A,"604*",HKM!L:L)-SUMIF(HKM!A:A,"604*",HKM!K:K)</f>
        <v>5577160.2800000012</v>
      </c>
      <c r="D5" s="256"/>
      <c r="E5" s="298"/>
      <c r="G5" s="167"/>
    </row>
    <row r="6" spans="1:7" ht="18.75" customHeight="1" thickBot="1" x14ac:dyDescent="0.3">
      <c r="A6" s="66" t="s">
        <v>300</v>
      </c>
      <c r="B6" s="262">
        <f>SUMIF(HK!A:A,"606*",HK!L:L)-SUMIF(HK!A:A,"606*",HK!K:K)</f>
        <v>0</v>
      </c>
      <c r="C6" s="262">
        <f>SUMIF(HKM!A:A,"606*",HKM!L:L)-SUMIF(HKM!A:A,"606*",HKM!K:K)</f>
        <v>0</v>
      </c>
      <c r="D6" s="256"/>
      <c r="E6" s="298"/>
      <c r="G6" s="167"/>
    </row>
    <row r="7" spans="1:7" ht="18.75" customHeight="1" thickBot="1" x14ac:dyDescent="0.3">
      <c r="A7" s="66" t="s">
        <v>301</v>
      </c>
      <c r="B7" s="262"/>
      <c r="C7" s="262"/>
      <c r="D7" s="256"/>
      <c r="E7" s="298"/>
      <c r="G7" s="182"/>
    </row>
    <row r="8" spans="1:7" ht="23.25" thickBot="1" x14ac:dyDescent="0.3">
      <c r="A8" s="14" t="s">
        <v>302</v>
      </c>
      <c r="B8" s="271">
        <v>28805</v>
      </c>
      <c r="C8" s="271">
        <v>25201</v>
      </c>
      <c r="D8" s="256"/>
      <c r="E8" s="256"/>
      <c r="G8" s="167"/>
    </row>
    <row r="9" spans="1:7" ht="18.75" customHeight="1" thickBot="1" x14ac:dyDescent="0.3">
      <c r="A9" s="67" t="s">
        <v>303</v>
      </c>
      <c r="B9" s="331">
        <v>5637835</v>
      </c>
      <c r="C9" s="331">
        <f>SUM(C3:C8)</f>
        <v>5743449.2300000014</v>
      </c>
    </row>
    <row r="10" spans="1:7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9"/>
  <sheetViews>
    <sheetView showGridLines="0" zoomScaleNormal="100" workbookViewId="0">
      <selection activeCell="J26" sqref="J26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5" ht="17.25" thickBot="1" x14ac:dyDescent="0.35">
      <c r="A1" s="1" t="s">
        <v>304</v>
      </c>
    </row>
    <row r="2" spans="1:5" ht="26.25" customHeight="1" thickTop="1" thickBot="1" x14ac:dyDescent="0.3">
      <c r="A2" s="57" t="s">
        <v>131</v>
      </c>
      <c r="B2" s="37" t="s">
        <v>2</v>
      </c>
      <c r="C2" s="37" t="s">
        <v>3</v>
      </c>
    </row>
    <row r="3" spans="1:5" ht="20.25" customHeight="1" thickTop="1" thickBot="1" x14ac:dyDescent="0.3">
      <c r="A3" s="43" t="s">
        <v>305</v>
      </c>
      <c r="B3" s="262">
        <f>SUMIF(VZaS!C:C,"010",VZaS!D:D)</f>
        <v>295478.01</v>
      </c>
      <c r="C3" s="262">
        <f>SUMIF(VZaS!C:C,"010",VZaS!E:E)</f>
        <v>353391.25</v>
      </c>
      <c r="D3" s="256"/>
      <c r="E3" s="298"/>
    </row>
    <row r="4" spans="1:5" ht="23.25" thickBot="1" x14ac:dyDescent="0.3">
      <c r="A4" s="117" t="s">
        <v>306</v>
      </c>
      <c r="B4" s="304">
        <v>1328</v>
      </c>
      <c r="C4" s="304">
        <v>1328</v>
      </c>
      <c r="D4" s="256"/>
      <c r="E4" s="256"/>
    </row>
    <row r="5" spans="1:5" ht="23.25" thickBot="1" x14ac:dyDescent="0.3">
      <c r="A5" s="14" t="s">
        <v>307</v>
      </c>
      <c r="B5" s="271">
        <v>830</v>
      </c>
      <c r="C5" s="271">
        <v>830</v>
      </c>
      <c r="D5" s="256"/>
      <c r="E5" s="256"/>
    </row>
    <row r="6" spans="1:5" ht="20.25" customHeight="1" thickBot="1" x14ac:dyDescent="0.3">
      <c r="A6" s="14" t="s">
        <v>308</v>
      </c>
      <c r="B6" s="271">
        <v>166</v>
      </c>
      <c r="C6" s="271">
        <v>166</v>
      </c>
      <c r="D6" s="256"/>
      <c r="E6" s="256"/>
    </row>
    <row r="7" spans="1:5" ht="20.25" customHeight="1" thickBot="1" x14ac:dyDescent="0.3">
      <c r="A7" s="14" t="s">
        <v>309</v>
      </c>
      <c r="B7" s="271">
        <v>332</v>
      </c>
      <c r="C7" s="271">
        <v>332</v>
      </c>
      <c r="D7" s="256"/>
      <c r="E7" s="256"/>
    </row>
    <row r="8" spans="1:5" ht="20.25" customHeight="1" thickBot="1" x14ac:dyDescent="0.3">
      <c r="A8" s="14" t="s">
        <v>310</v>
      </c>
      <c r="B8" s="271"/>
      <c r="C8" s="271"/>
      <c r="D8" s="256"/>
      <c r="E8" s="256"/>
    </row>
    <row r="9" spans="1:5" ht="20.25" customHeight="1" thickBot="1" x14ac:dyDescent="0.3">
      <c r="A9" s="14" t="s">
        <v>311</v>
      </c>
      <c r="B9" s="271"/>
      <c r="C9" s="271"/>
      <c r="D9" s="256"/>
      <c r="E9" s="256"/>
    </row>
    <row r="10" spans="1:5" ht="23.25" thickBot="1" x14ac:dyDescent="0.3">
      <c r="A10" s="117" t="s">
        <v>312</v>
      </c>
      <c r="B10" s="358">
        <f>B11+B12+B13</f>
        <v>132932</v>
      </c>
      <c r="C10" s="358">
        <f>C11+C12+C13</f>
        <v>175107</v>
      </c>
      <c r="D10" s="256"/>
      <c r="E10" s="256"/>
    </row>
    <row r="11" spans="1:5" ht="20.25" customHeight="1" thickBot="1" x14ac:dyDescent="0.3">
      <c r="A11" s="14" t="s">
        <v>1511</v>
      </c>
      <c r="B11" s="271">
        <v>48742</v>
      </c>
      <c r="C11" s="271">
        <v>61312</v>
      </c>
      <c r="D11" s="256"/>
      <c r="E11" s="256"/>
    </row>
    <row r="12" spans="1:5" ht="20.25" customHeight="1" thickBot="1" x14ac:dyDescent="0.3">
      <c r="A12" s="14" t="s">
        <v>1498</v>
      </c>
      <c r="B12" s="271">
        <v>31155</v>
      </c>
      <c r="C12" s="271">
        <v>41141</v>
      </c>
      <c r="D12" s="256"/>
      <c r="E12" s="256"/>
    </row>
    <row r="13" spans="1:5" ht="20.25" customHeight="1" thickBot="1" x14ac:dyDescent="0.3">
      <c r="A13" s="14" t="s">
        <v>1514</v>
      </c>
      <c r="B13" s="271">
        <v>53035</v>
      </c>
      <c r="C13" s="271">
        <v>72654</v>
      </c>
      <c r="D13" s="256"/>
      <c r="E13" s="256"/>
    </row>
    <row r="14" spans="1:5" ht="34.5" thickBot="1" x14ac:dyDescent="0.3">
      <c r="A14" s="43" t="s">
        <v>313</v>
      </c>
      <c r="B14" s="255">
        <f>SUMIF(VZaS!C:C,"009",VZaS!D:D)+SUMIF(VZaS!C:C,"017",VZaS!D:D)+SUMIF(VZaS!C:C,"018",VZaS!D:D)+SUMIF(VZaS!C:C,"020",VZaS!D:D)+SUMIF(VZaS!C:C,"021",VZaS!D:D)+SUMIF(VZaS!C:C,"023",VZaS!D:D)</f>
        <v>393548.10000000003</v>
      </c>
      <c r="C14" s="255">
        <f>SUMIF(VZaS!C:C,"009",VZaS!E:E)+SUMIF(VZaS!C:C,"017",VZaS!E:E)+SUMIF(VZaS!C:C,"018",VZaS!E:E)+SUMIF(VZaS!C:C,"020",VZaS!E:E)+SUMIF(VZaS!C:C,"021",VZaS!E:E)+SUMIF(VZaS!C:C,"023",VZaS!E:E)</f>
        <v>375489.03</v>
      </c>
      <c r="D14" s="256"/>
      <c r="E14" s="298"/>
    </row>
    <row r="15" spans="1:5" ht="20.25" customHeight="1" thickBot="1" x14ac:dyDescent="0.3">
      <c r="A15" s="14" t="s">
        <v>1500</v>
      </c>
      <c r="B15" s="271">
        <v>161798</v>
      </c>
      <c r="C15" s="271">
        <v>157253</v>
      </c>
      <c r="D15" s="256"/>
      <c r="E15" s="256"/>
    </row>
    <row r="16" spans="1:5" ht="20.25" customHeight="1" thickBot="1" x14ac:dyDescent="0.3">
      <c r="A16" s="14" t="s">
        <v>1515</v>
      </c>
      <c r="B16" s="271">
        <v>168740</v>
      </c>
      <c r="C16" s="271">
        <v>191298</v>
      </c>
      <c r="D16" s="256"/>
      <c r="E16" s="256"/>
    </row>
    <row r="17" spans="1:5" ht="20.25" customHeight="1" thickBot="1" x14ac:dyDescent="0.3">
      <c r="A17" s="14" t="s">
        <v>1499</v>
      </c>
      <c r="B17" s="271">
        <v>142883</v>
      </c>
      <c r="C17" s="271">
        <v>138923</v>
      </c>
      <c r="D17" s="256"/>
      <c r="E17" s="256"/>
    </row>
    <row r="18" spans="1:5" ht="20.25" customHeight="1" thickBot="1" x14ac:dyDescent="0.3">
      <c r="A18" s="14"/>
      <c r="B18" s="271"/>
      <c r="C18" s="271"/>
      <c r="D18" s="256"/>
      <c r="E18" s="256"/>
    </row>
    <row r="19" spans="1:5" ht="15.75" thickBot="1" x14ac:dyDescent="0.3">
      <c r="A19" s="43" t="s">
        <v>314</v>
      </c>
      <c r="B19" s="255">
        <f>SUMIF(VZaS!C:C,"028",VZaS!D:D)+SUMIF(VZaS!C:C,"034",VZaS!D:D)+SUMIF(VZaS!C:C,"036",VZaS!D:D)+SUMIF(VZaS!C:C,"039",VZaS!D:D)+SUMIF(VZaS!C:C,"041",VZaS!D:D)+SUMIF(VZaS!C:C,"043",VZaS!D:D)+SUMIF(VZaS!C:C,"045",VZaS!D:D)</f>
        <v>62643.079999999994</v>
      </c>
      <c r="C19" s="255">
        <f>SUMIF(VZaS!C:C,"028",VZaS!E:E)+SUMIF(VZaS!C:C,"034",VZaS!E:E)+SUMIF(VZaS!C:C,"036",VZaS!E:E)+SUMIF(VZaS!C:C,"039",VZaS!E:E)+SUMIF(VZaS!C:C,"041",VZaS!E:E)+SUMIF(VZaS!C:C,"043",VZaS!E:E)+SUMIF(VZaS!C:C,"045",VZaS!E:E)</f>
        <v>73292.28</v>
      </c>
      <c r="D19" s="256"/>
      <c r="E19" s="298"/>
    </row>
    <row r="20" spans="1:5" ht="20.25" customHeight="1" thickBot="1" x14ac:dyDescent="0.3">
      <c r="A20" s="117" t="s">
        <v>315</v>
      </c>
      <c r="B20" s="262">
        <f>SUMIF(VZaS!C:C,"041",VZaS!D:D)</f>
        <v>55.96</v>
      </c>
      <c r="C20" s="262">
        <f>SUMIF(VZaS!C:C,"041",VZaS!E:E)</f>
        <v>322.04000000000002</v>
      </c>
      <c r="D20" s="256"/>
      <c r="E20" s="298"/>
    </row>
    <row r="21" spans="1:5" ht="20.25" customHeight="1" thickBot="1" x14ac:dyDescent="0.3">
      <c r="A21" s="14" t="s">
        <v>316</v>
      </c>
      <c r="B21" s="271">
        <v>0</v>
      </c>
      <c r="C21" s="271">
        <v>116</v>
      </c>
      <c r="D21" s="256"/>
      <c r="E21" s="256"/>
    </row>
    <row r="22" spans="1:5" ht="20.25" customHeight="1" thickBot="1" x14ac:dyDescent="0.3">
      <c r="A22" s="117" t="s">
        <v>317</v>
      </c>
      <c r="B22" s="304">
        <f>B23+B24</f>
        <v>62587</v>
      </c>
      <c r="C22" s="304">
        <f>C23+C24</f>
        <v>72970</v>
      </c>
      <c r="D22" s="256"/>
      <c r="E22" s="256"/>
    </row>
    <row r="23" spans="1:5" ht="20.25" customHeight="1" thickBot="1" x14ac:dyDescent="0.3">
      <c r="A23" s="14" t="s">
        <v>1512</v>
      </c>
      <c r="B23" s="271">
        <v>35651</v>
      </c>
      <c r="C23" s="271">
        <v>46949</v>
      </c>
      <c r="D23" s="256"/>
      <c r="E23" s="256"/>
    </row>
    <row r="24" spans="1:5" ht="20.25" customHeight="1" thickBot="1" x14ac:dyDescent="0.3">
      <c r="A24" s="14" t="s">
        <v>1513</v>
      </c>
      <c r="B24" s="271">
        <v>26936</v>
      </c>
      <c r="C24" s="271">
        <v>26021</v>
      </c>
      <c r="D24" s="256"/>
      <c r="E24" s="256"/>
    </row>
    <row r="25" spans="1:5" ht="20.25" customHeight="1" thickBot="1" x14ac:dyDescent="0.3">
      <c r="A25" s="95" t="s">
        <v>318</v>
      </c>
      <c r="B25" s="262">
        <f>SUMIF(VZaS!C:C,"053",VZaS!D:D)</f>
        <v>0</v>
      </c>
      <c r="C25" s="262">
        <v>0</v>
      </c>
      <c r="D25" s="256"/>
      <c r="E25" s="298"/>
    </row>
    <row r="26" spans="1:5" ht="20.25" customHeight="1" thickBot="1" x14ac:dyDescent="0.3">
      <c r="A26" s="96"/>
      <c r="B26" s="307"/>
      <c r="C26" s="307"/>
      <c r="D26" s="256"/>
      <c r="E26" s="256"/>
    </row>
    <row r="27" spans="1:5" ht="20.25" customHeight="1" thickBot="1" x14ac:dyDescent="0.3">
      <c r="A27" s="24"/>
      <c r="B27" s="332"/>
      <c r="C27" s="332"/>
      <c r="D27" s="256"/>
      <c r="E27" s="256"/>
    </row>
    <row r="28" spans="1:5" ht="17.25" thickTop="1" x14ac:dyDescent="0.3">
      <c r="A28" s="1"/>
      <c r="B28" s="256"/>
      <c r="C28" s="256"/>
      <c r="D28" s="256"/>
      <c r="E28" s="256"/>
    </row>
    <row r="29" spans="1:5" x14ac:dyDescent="0.25">
      <c r="B29" s="256"/>
      <c r="C29" s="256"/>
      <c r="D29" s="256"/>
      <c r="E29" s="256"/>
    </row>
  </sheetData>
  <pageMargins left="0.7" right="0.7" top="0.75" bottom="0.75" header="0.3" footer="0.3"/>
  <pageSetup paperSize="9" orientation="portrait" horizontalDpi="300" verticalDpi="3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10"/>
  <sheetViews>
    <sheetView showGridLines="0" zoomScaleNormal="100" workbookViewId="0">
      <selection activeCell="A10" sqref="A10"/>
    </sheetView>
  </sheetViews>
  <sheetFormatPr defaultRowHeight="15" x14ac:dyDescent="0.2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319</v>
      </c>
    </row>
    <row r="2" spans="1:3" ht="35.25" thickTop="1" thickBot="1" x14ac:dyDescent="0.3">
      <c r="A2" s="57" t="s">
        <v>131</v>
      </c>
      <c r="B2" s="37" t="s">
        <v>2</v>
      </c>
      <c r="C2" s="37" t="s">
        <v>3</v>
      </c>
    </row>
    <row r="3" spans="1:3" ht="35.25" thickTop="1" thickBot="1" x14ac:dyDescent="0.3">
      <c r="A3" s="112" t="s">
        <v>320</v>
      </c>
      <c r="B3" s="15"/>
      <c r="C3" s="15"/>
    </row>
    <row r="4" spans="1:3" ht="34.5" thickBot="1" x14ac:dyDescent="0.3">
      <c r="A4" s="118" t="s">
        <v>321</v>
      </c>
      <c r="B4" s="15"/>
      <c r="C4" s="15"/>
    </row>
    <row r="5" spans="1:3" ht="79.5" thickBot="1" x14ac:dyDescent="0.3">
      <c r="A5" s="109" t="s">
        <v>322</v>
      </c>
      <c r="B5" s="15"/>
      <c r="C5" s="15"/>
    </row>
    <row r="6" spans="1:3" ht="57" thickBot="1" x14ac:dyDescent="0.3">
      <c r="A6" s="14" t="s">
        <v>323</v>
      </c>
      <c r="B6" s="15"/>
      <c r="C6" s="15"/>
    </row>
    <row r="7" spans="1:3" ht="57" thickBot="1" x14ac:dyDescent="0.3">
      <c r="A7" s="112" t="s">
        <v>324</v>
      </c>
      <c r="B7" s="15"/>
      <c r="C7" s="15"/>
    </row>
    <row r="8" spans="1:3" ht="34.5" thickBot="1" x14ac:dyDescent="0.3">
      <c r="A8" s="119" t="s">
        <v>325</v>
      </c>
      <c r="B8" s="17"/>
      <c r="C8" s="17"/>
    </row>
    <row r="9" spans="1:3" ht="17.25" thickTop="1" x14ac:dyDescent="0.3">
      <c r="A9" s="1"/>
    </row>
    <row r="10" spans="1:3" x14ac:dyDescent="0.25">
      <c r="A10" s="322" t="s">
        <v>1481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3"/>
  <sheetViews>
    <sheetView showGridLines="0" zoomScaleNormal="100" workbookViewId="0">
      <selection activeCell="M31" sqref="M31"/>
    </sheetView>
  </sheetViews>
  <sheetFormatPr defaultRowHeight="15" x14ac:dyDescent="0.25"/>
  <cols>
    <col min="1" max="1" width="22.28515625" customWidth="1"/>
    <col min="2" max="2" width="10.7109375" customWidth="1"/>
    <col min="3" max="3" width="11.85546875" bestFit="1" customWidth="1"/>
    <col min="4" max="5" width="10.7109375" customWidth="1"/>
    <col min="6" max="6" width="12.7109375" bestFit="1" customWidth="1"/>
    <col min="7" max="7" width="10.7109375" customWidth="1"/>
  </cols>
  <sheetData>
    <row r="1" spans="1:10" ht="17.25" thickBot="1" x14ac:dyDescent="0.35">
      <c r="A1" s="1" t="s">
        <v>326</v>
      </c>
    </row>
    <row r="2" spans="1:10" ht="35.25" customHeight="1" thickTop="1" thickBot="1" x14ac:dyDescent="0.3">
      <c r="A2" s="359" t="s">
        <v>131</v>
      </c>
      <c r="B2" s="361" t="s">
        <v>2</v>
      </c>
      <c r="C2" s="367"/>
      <c r="D2" s="362"/>
      <c r="E2" s="361" t="s">
        <v>3</v>
      </c>
      <c r="F2" s="367"/>
      <c r="G2" s="362"/>
    </row>
    <row r="3" spans="1:10" s="120" customFormat="1" ht="16.5" thickTop="1" thickBot="1" x14ac:dyDescent="0.3">
      <c r="A3" s="360"/>
      <c r="B3" s="21" t="s">
        <v>327</v>
      </c>
      <c r="C3" s="21" t="s">
        <v>328</v>
      </c>
      <c r="D3" s="21" t="s">
        <v>329</v>
      </c>
      <c r="E3" s="21" t="s">
        <v>327</v>
      </c>
      <c r="F3" s="21" t="s">
        <v>328</v>
      </c>
      <c r="G3" s="21" t="s">
        <v>329</v>
      </c>
    </row>
    <row r="4" spans="1:10" ht="24" thickTop="1" thickBot="1" x14ac:dyDescent="0.3">
      <c r="A4" s="14" t="s">
        <v>330</v>
      </c>
      <c r="B4" s="297">
        <f>SUMIF(VZaS!C:C,"059",VZaS!D:D)</f>
        <v>86716.39</v>
      </c>
      <c r="C4" s="308" t="s">
        <v>18</v>
      </c>
      <c r="D4" s="309" t="s">
        <v>18</v>
      </c>
      <c r="E4" s="297">
        <f>SUMIF(VZaS!C:C,"059",VZaS!E:E)</f>
        <v>85356.87</v>
      </c>
      <c r="F4" s="308" t="s">
        <v>18</v>
      </c>
      <c r="G4" s="309" t="s">
        <v>18</v>
      </c>
      <c r="H4" s="254"/>
      <c r="I4" s="254"/>
      <c r="J4" s="296"/>
    </row>
    <row r="5" spans="1:10" ht="20.25" customHeight="1" thickBot="1" x14ac:dyDescent="0.3">
      <c r="A5" s="14" t="s">
        <v>331</v>
      </c>
      <c r="B5" s="308" t="s">
        <v>18</v>
      </c>
      <c r="C5" s="261"/>
      <c r="D5" s="310"/>
      <c r="E5" s="308" t="s">
        <v>18</v>
      </c>
      <c r="F5" s="261"/>
      <c r="G5" s="310"/>
      <c r="H5" s="254"/>
      <c r="I5" s="254"/>
      <c r="J5" s="254"/>
    </row>
    <row r="6" spans="1:10" ht="20.25" customHeight="1" thickBot="1" x14ac:dyDescent="0.3">
      <c r="A6" s="14" t="s">
        <v>332</v>
      </c>
      <c r="B6" s="261">
        <v>16302</v>
      </c>
      <c r="C6" s="261"/>
      <c r="D6" s="310"/>
      <c r="E6" s="261">
        <v>2459</v>
      </c>
      <c r="F6" s="261"/>
      <c r="G6" s="310"/>
      <c r="H6" s="254"/>
      <c r="I6" s="254"/>
      <c r="J6" s="254"/>
    </row>
    <row r="7" spans="1:10" ht="20.25" customHeight="1" thickBot="1" x14ac:dyDescent="0.3">
      <c r="A7" s="14" t="s">
        <v>333</v>
      </c>
      <c r="B7" s="261">
        <v>14234.23</v>
      </c>
      <c r="C7" s="261"/>
      <c r="D7" s="310"/>
      <c r="E7" s="261">
        <v>17298</v>
      </c>
      <c r="F7" s="261"/>
      <c r="G7" s="310"/>
      <c r="H7" s="254"/>
      <c r="I7" s="254"/>
      <c r="J7" s="254"/>
    </row>
    <row r="8" spans="1:10" ht="20.25" customHeight="1" thickBot="1" x14ac:dyDescent="0.3">
      <c r="A8" s="14" t="s">
        <v>334</v>
      </c>
      <c r="B8" s="261"/>
      <c r="C8" s="261"/>
      <c r="D8" s="310"/>
      <c r="E8" s="261"/>
      <c r="F8" s="261"/>
      <c r="G8" s="310"/>
      <c r="H8" s="254"/>
      <c r="I8" s="254"/>
      <c r="J8" s="254"/>
    </row>
    <row r="9" spans="1:10" ht="20.25" customHeight="1" thickBot="1" x14ac:dyDescent="0.3">
      <c r="A9" s="14" t="s">
        <v>14</v>
      </c>
      <c r="B9" s="261"/>
      <c r="C9" s="261"/>
      <c r="D9" s="310"/>
      <c r="E9" s="261">
        <v>70518</v>
      </c>
      <c r="F9" s="261"/>
      <c r="G9" s="310"/>
      <c r="H9" s="254"/>
      <c r="I9" s="254"/>
      <c r="J9" s="254"/>
    </row>
    <row r="10" spans="1:10" ht="20.25" customHeight="1" thickBot="1" x14ac:dyDescent="0.3">
      <c r="A10" s="14" t="s">
        <v>335</v>
      </c>
      <c r="B10" s="308" t="s">
        <v>18</v>
      </c>
      <c r="C10" s="297">
        <f>SUMIF(VZaS!C:C,"049",VZaS!D:D)+SUMIF(VZaS!C:C,"056",VZaS!D:D)</f>
        <v>20420.52</v>
      </c>
      <c r="D10" s="310"/>
      <c r="E10" s="308" t="s">
        <v>18</v>
      </c>
      <c r="F10" s="297">
        <f>SUMIF(VZaS!C:C,"049",VZaS!E:E)+SUMIF(VZaS!C:C,"056",VZaS!E:E)</f>
        <v>13398.45</v>
      </c>
      <c r="G10" s="310"/>
      <c r="H10" s="254"/>
      <c r="I10" s="254"/>
      <c r="J10" s="254"/>
    </row>
    <row r="11" spans="1:10" ht="20.25" customHeight="1" thickBot="1" x14ac:dyDescent="0.3">
      <c r="A11" s="14" t="s">
        <v>336</v>
      </c>
      <c r="B11" s="308" t="s">
        <v>18</v>
      </c>
      <c r="C11" s="297">
        <f>SUMIF(VZaS!C:C,"050",VZaS!D:D)+SUMIF(VZaS!C:C,"057",VZaS!D:D)</f>
        <v>3266.92</v>
      </c>
      <c r="D11" s="310"/>
      <c r="E11" s="308" t="s">
        <v>18</v>
      </c>
      <c r="F11" s="297">
        <f>SUMIF(VZaS!C:C,"050",VZaS!E:E)+SUMIF(VZaS!C:C,"057",VZaS!E:E)</f>
        <v>7429.65</v>
      </c>
      <c r="G11" s="310"/>
      <c r="H11" s="254"/>
      <c r="I11" s="254"/>
      <c r="J11" s="254"/>
    </row>
    <row r="12" spans="1:10" ht="20.25" customHeight="1" thickBot="1" x14ac:dyDescent="0.3">
      <c r="A12" s="16" t="s">
        <v>337</v>
      </c>
      <c r="B12" s="98" t="s">
        <v>18</v>
      </c>
      <c r="C12" s="80"/>
      <c r="D12" s="144"/>
      <c r="E12" s="98" t="s">
        <v>18</v>
      </c>
      <c r="F12" s="80"/>
      <c r="G12" s="144"/>
    </row>
    <row r="13" spans="1:10" ht="15.75" thickTop="1" x14ac:dyDescent="0.25"/>
  </sheetData>
  <mergeCells count="3">
    <mergeCell ref="A2:A3"/>
    <mergeCell ref="B2:D2"/>
    <mergeCell ref="E2:G2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50"/>
  </sheetPr>
  <dimension ref="A1:M49"/>
  <sheetViews>
    <sheetView showGridLines="0" topLeftCell="A13" zoomScaleNormal="100" workbookViewId="0">
      <selection activeCell="N45" sqref="N45"/>
    </sheetView>
  </sheetViews>
  <sheetFormatPr defaultRowHeight="15" x14ac:dyDescent="0.25"/>
  <cols>
    <col min="1" max="1" width="29.42578125" customWidth="1"/>
    <col min="2" max="9" width="12.5703125" customWidth="1"/>
  </cols>
  <sheetData>
    <row r="1" spans="1:12" ht="16.5" x14ac:dyDescent="0.3">
      <c r="A1" s="1" t="s">
        <v>19</v>
      </c>
    </row>
    <row r="2" spans="1:12" ht="17.25" thickBot="1" x14ac:dyDescent="0.35">
      <c r="A2" s="2" t="s">
        <v>8</v>
      </c>
    </row>
    <row r="3" spans="1:12" ht="15" customHeight="1" thickTop="1" thickBot="1" x14ac:dyDescent="0.3">
      <c r="A3" s="359" t="s">
        <v>20</v>
      </c>
      <c r="B3" s="361" t="s">
        <v>2</v>
      </c>
      <c r="C3" s="367"/>
      <c r="D3" s="367"/>
      <c r="E3" s="367"/>
      <c r="F3" s="367"/>
      <c r="G3" s="367"/>
      <c r="H3" s="367"/>
      <c r="I3" s="362"/>
    </row>
    <row r="4" spans="1:12" ht="35.25" customHeight="1" thickTop="1" thickBot="1" x14ac:dyDescent="0.3">
      <c r="A4" s="363"/>
      <c r="B4" s="39" t="s">
        <v>441</v>
      </c>
      <c r="C4" s="152" t="s">
        <v>21</v>
      </c>
      <c r="D4" s="152" t="s">
        <v>442</v>
      </c>
      <c r="E4" s="151" t="s">
        <v>22</v>
      </c>
      <c r="F4" s="39" t="s">
        <v>23</v>
      </c>
      <c r="G4" s="152" t="s">
        <v>443</v>
      </c>
      <c r="H4" s="152" t="s">
        <v>24</v>
      </c>
      <c r="I4" s="152" t="s">
        <v>14</v>
      </c>
    </row>
    <row r="5" spans="1:12" ht="15" customHeight="1" thickTop="1" thickBot="1" x14ac:dyDescent="0.3">
      <c r="A5" s="40" t="s">
        <v>25</v>
      </c>
      <c r="B5" s="41"/>
      <c r="C5" s="41"/>
      <c r="D5" s="41"/>
      <c r="E5" s="41"/>
      <c r="F5" s="41"/>
      <c r="G5" s="41"/>
      <c r="H5" s="41"/>
      <c r="I5" s="42"/>
    </row>
    <row r="6" spans="1:12" ht="16.5" thickTop="1" thickBot="1" x14ac:dyDescent="0.3">
      <c r="A6" s="43" t="s">
        <v>26</v>
      </c>
      <c r="B6" s="220">
        <f>SUMIF(HK!A:A,"012*",HK!C:C)-SUMIF(HK!A:A,"012*",HK!D:D)</f>
        <v>0</v>
      </c>
      <c r="C6" s="220">
        <f>SUMIF(HK!A:A,"013*",HK!C:C)-SUMIF(HK!A:A,"013*",HK!D:D)</f>
        <v>14846.87</v>
      </c>
      <c r="D6" s="220">
        <f>SUMIF(HK!A:A,"014*",HK!C:C)-SUMIF(HK!A:A,"014*",HK!D:D)</f>
        <v>0</v>
      </c>
      <c r="E6" s="220">
        <f>SUMIF(HK!A:A,"015*",HK!C:C)-SUMIF(HK!A:A,"015*",HK!D:D)</f>
        <v>0</v>
      </c>
      <c r="F6" s="220">
        <f>SUMIF(HK!A:A,"019*",HK!C:C)-SUMIF(HK!A:A,"019*",HK!D:D)</f>
        <v>0</v>
      </c>
      <c r="G6" s="220">
        <f>SUMIF(HK!A:A,"041*",HK!C:C)-SUMIF(HK!A:A,"041*",HK!D:D)</f>
        <v>0</v>
      </c>
      <c r="H6" s="220">
        <f>SUMIF(HK!A:A,"051*",HK!C:C)-SUMIF(HK!A:A,"051*",HK!D:D)</f>
        <v>0</v>
      </c>
      <c r="I6" s="205">
        <f>SUM(B6:H6)</f>
        <v>14846.87</v>
      </c>
      <c r="J6" s="189"/>
      <c r="K6" s="206"/>
      <c r="L6" s="189"/>
    </row>
    <row r="7" spans="1:12" ht="25.5" customHeight="1" thickBot="1" x14ac:dyDescent="0.3">
      <c r="A7" s="14" t="s">
        <v>27</v>
      </c>
      <c r="B7" s="183"/>
      <c r="C7" s="220"/>
      <c r="D7" s="220"/>
      <c r="E7" s="220"/>
      <c r="F7" s="220"/>
      <c r="G7" s="220"/>
      <c r="H7" s="220"/>
      <c r="I7" s="205">
        <f>SUM(B7:H7)</f>
        <v>0</v>
      </c>
      <c r="J7" s="189"/>
      <c r="K7" s="189"/>
      <c r="L7" s="189"/>
    </row>
    <row r="8" spans="1:12" ht="15" customHeight="1" thickBot="1" x14ac:dyDescent="0.3">
      <c r="A8" s="14" t="s">
        <v>28</v>
      </c>
      <c r="B8" s="183"/>
      <c r="C8" s="183"/>
      <c r="D8" s="183"/>
      <c r="E8" s="183"/>
      <c r="F8" s="184"/>
      <c r="G8" s="183"/>
      <c r="H8" s="183"/>
      <c r="I8" s="205">
        <f t="shared" ref="I8:I9" si="0">SUM(B8:H8)</f>
        <v>0</v>
      </c>
      <c r="J8" s="189"/>
      <c r="K8" s="189"/>
      <c r="L8" s="189"/>
    </row>
    <row r="9" spans="1:12" ht="23.25" customHeight="1" thickBot="1" x14ac:dyDescent="0.3">
      <c r="A9" s="14" t="s">
        <v>29</v>
      </c>
      <c r="B9" s="183"/>
      <c r="C9" s="220"/>
      <c r="D9" s="220"/>
      <c r="E9" s="220"/>
      <c r="F9" s="220"/>
      <c r="G9" s="220"/>
      <c r="H9" s="220"/>
      <c r="I9" s="205">
        <f t="shared" si="0"/>
        <v>0</v>
      </c>
      <c r="J9" s="189"/>
      <c r="K9" s="189"/>
      <c r="L9" s="189"/>
    </row>
    <row r="10" spans="1:12" ht="15.75" thickBot="1" x14ac:dyDescent="0.3">
      <c r="A10" s="24" t="s">
        <v>30</v>
      </c>
      <c r="B10" s="220">
        <f>SUMIF(HK!A:A,"012*",HK!K:K)-SUMIF(HK!A:A,"012*",HK!L:L)</f>
        <v>0</v>
      </c>
      <c r="C10" s="220">
        <f>SUMIF(HK!A:A,"013*",HK!K:K)-SUMIF(HK!A:A,"013*",HK!L:L)</f>
        <v>14846.87</v>
      </c>
      <c r="D10" s="220">
        <f>SUMIF(HK!A:A,"014*",HK!K:K)-SUMIF(HK!A:A,"014*",HK!L:L)</f>
        <v>0</v>
      </c>
      <c r="E10" s="220">
        <f>SUMIF(HK!A:A,"015*",HK!K:K)-SUMIF(HK!A:A,"015*",HK!L:L)</f>
        <v>0</v>
      </c>
      <c r="F10" s="220">
        <f>SUMIF(HK!A:A,"019*",HK!K:K)-SUMIF(HK!A:A,"019*",HK!L:L)</f>
        <v>0</v>
      </c>
      <c r="G10" s="220">
        <f>SUMIF(HK!A:A,"041*",HK!K:K)-SUMIF(HK!A:A,"041*",HK!L:L)</f>
        <v>0</v>
      </c>
      <c r="H10" s="220">
        <f>SUMIF(HK!A:A,"051*",HK!K:K)-SUMIF(HK!A:A,"051*",HK!L:L)</f>
        <v>0</v>
      </c>
      <c r="I10" s="207">
        <f>I6+I7-I8+I9</f>
        <v>14846.87</v>
      </c>
      <c r="J10" s="189"/>
      <c r="K10" s="206"/>
      <c r="L10" s="189"/>
    </row>
    <row r="11" spans="1:12" ht="15" customHeight="1" thickTop="1" thickBot="1" x14ac:dyDescent="0.3">
      <c r="A11" s="40" t="s">
        <v>31</v>
      </c>
      <c r="B11" s="221"/>
      <c r="C11" s="221"/>
      <c r="D11" s="222"/>
      <c r="E11" s="221"/>
      <c r="F11" s="221"/>
      <c r="G11" s="221"/>
      <c r="H11" s="221"/>
      <c r="I11" s="209"/>
      <c r="J11" s="189"/>
      <c r="K11" s="189"/>
      <c r="L11" s="189"/>
    </row>
    <row r="12" spans="1:12" ht="16.5" thickTop="1" thickBot="1" x14ac:dyDescent="0.3">
      <c r="A12" s="43" t="s">
        <v>32</v>
      </c>
      <c r="B12" s="220">
        <f>SUMIF(HK!A:A,"071*",HK!D:D)-SUMIF(HK!A:A,"071*",HK!C:C)</f>
        <v>0</v>
      </c>
      <c r="C12" s="220">
        <f>SUMIF(HK!A:A,"073*",HK!D:D)-SUMIF(HK!A:A,"073*",HK!C:C)</f>
        <v>14846.87</v>
      </c>
      <c r="D12" s="223">
        <f>SUMIF(HK!A:A,"074*",HK!D:D)-SUMIF(HK!A:A,"074*",HK!C:C)</f>
        <v>0</v>
      </c>
      <c r="E12" s="220">
        <f>SUMIF(HK!A:A,"075*",HK!D:D)-SUMIF(HK!A:A,"075*",HK!C:C)</f>
        <v>0</v>
      </c>
      <c r="F12" s="220">
        <f>SUMIF(HK!A:A,"079*",HK!D:D)-SUMIF(HK!A:A,"079*",HK!C:C)</f>
        <v>0</v>
      </c>
      <c r="G12" s="224"/>
      <c r="H12" s="224"/>
      <c r="I12" s="205">
        <f>SUM(B12:H12)</f>
        <v>14846.87</v>
      </c>
      <c r="J12" s="189"/>
      <c r="K12" s="206"/>
      <c r="L12" s="189"/>
    </row>
    <row r="13" spans="1:12" ht="22.5" customHeight="1" thickBot="1" x14ac:dyDescent="0.3">
      <c r="A13" s="14" t="s">
        <v>27</v>
      </c>
      <c r="B13" s="183"/>
      <c r="C13" s="220"/>
      <c r="D13" s="220"/>
      <c r="E13" s="220"/>
      <c r="F13" s="220"/>
      <c r="G13" s="210"/>
      <c r="H13" s="210"/>
      <c r="I13" s="205">
        <f t="shared" ref="I13:I14" si="1">SUM(B13:H13)</f>
        <v>0</v>
      </c>
      <c r="J13" s="189"/>
      <c r="K13" s="189"/>
      <c r="L13" s="189"/>
    </row>
    <row r="14" spans="1:12" ht="21.75" customHeight="1" thickBot="1" x14ac:dyDescent="0.3">
      <c r="A14" s="14" t="s">
        <v>28</v>
      </c>
      <c r="B14" s="220"/>
      <c r="C14" s="220"/>
      <c r="D14" s="220"/>
      <c r="E14" s="220"/>
      <c r="F14" s="220"/>
      <c r="G14" s="210"/>
      <c r="H14" s="210"/>
      <c r="I14" s="205">
        <f t="shared" si="1"/>
        <v>0</v>
      </c>
      <c r="J14" s="189"/>
      <c r="K14" s="189"/>
      <c r="L14" s="189"/>
    </row>
    <row r="15" spans="1:12" ht="15.75" thickBot="1" x14ac:dyDescent="0.3">
      <c r="A15" s="24" t="s">
        <v>30</v>
      </c>
      <c r="B15" s="220">
        <f>SUMIF(HK!A:A,"071*",HK!L:L)-SUMIF(HK!A:A,"071*",HK!K:K)</f>
        <v>0</v>
      </c>
      <c r="C15" s="220">
        <f>SUMIF(HK!A:A,"073*",HK!L:L)-SUMIF(HK!A:A,"073*",HK!K:K)</f>
        <v>14846.87</v>
      </c>
      <c r="D15" s="220">
        <f>SUMIF(HK!A:A,"074*",HK!L:L)-SUMIF(HK!A:A,"074*",HK!K:K)</f>
        <v>0</v>
      </c>
      <c r="E15" s="220">
        <f>SUMIF(HK!A:A,"075*",HK!L:L)-SUMIF(HK!A:A,"075*",HK!K:K)</f>
        <v>0</v>
      </c>
      <c r="F15" s="220">
        <f>SUMIF(HK!A:A,"079*",HK!L:L)-SUMIF(HK!A:A,"079*",HK!K:K)</f>
        <v>0</v>
      </c>
      <c r="G15" s="211"/>
      <c r="H15" s="211"/>
      <c r="I15" s="207">
        <f>I12+I13-I14</f>
        <v>14846.87</v>
      </c>
      <c r="J15" s="189"/>
      <c r="K15" s="206"/>
      <c r="L15" s="189"/>
    </row>
    <row r="16" spans="1:12" ht="15" customHeight="1" thickTop="1" thickBot="1" x14ac:dyDescent="0.3">
      <c r="A16" s="40" t="s">
        <v>33</v>
      </c>
      <c r="B16" s="221"/>
      <c r="C16" s="221"/>
      <c r="D16" s="221"/>
      <c r="E16" s="221"/>
      <c r="F16" s="221"/>
      <c r="G16" s="221"/>
      <c r="H16" s="221"/>
      <c r="I16" s="209"/>
      <c r="J16" s="189"/>
      <c r="K16" s="189"/>
      <c r="L16" s="189"/>
    </row>
    <row r="17" spans="1:13" ht="16.5" thickTop="1" thickBot="1" x14ac:dyDescent="0.3">
      <c r="A17" s="43" t="s">
        <v>32</v>
      </c>
      <c r="B17" s="220"/>
      <c r="C17" s="220"/>
      <c r="D17" s="220"/>
      <c r="E17" s="220"/>
      <c r="F17" s="220"/>
      <c r="G17" s="220">
        <f>SUMIF(HK!A:A,"093*",HK!D:D)-SUMIF(HK!A:A,"093*",HK!C:C)</f>
        <v>0</v>
      </c>
      <c r="H17" s="220">
        <f>SUMIF(SUAM!C:C,"010",SUAM!E:E)</f>
        <v>0</v>
      </c>
      <c r="I17" s="205">
        <f>SUM(B17:H17)</f>
        <v>0</v>
      </c>
      <c r="J17" s="189"/>
      <c r="K17" s="206"/>
      <c r="L17" s="212"/>
      <c r="M17" s="161"/>
    </row>
    <row r="18" spans="1:13" ht="15" customHeight="1" thickBot="1" x14ac:dyDescent="0.3">
      <c r="A18" s="14" t="s">
        <v>27</v>
      </c>
      <c r="B18" s="183"/>
      <c r="C18" s="183"/>
      <c r="D18" s="183"/>
      <c r="E18" s="183"/>
      <c r="F18" s="183"/>
      <c r="G18" s="183"/>
      <c r="H18" s="183"/>
      <c r="I18" s="205">
        <f t="shared" ref="I18:I19" si="2">SUM(B18:H18)</f>
        <v>0</v>
      </c>
      <c r="J18" s="189"/>
      <c r="K18" s="213"/>
      <c r="L18" s="189"/>
    </row>
    <row r="19" spans="1:13" ht="15" customHeight="1" thickBot="1" x14ac:dyDescent="0.3">
      <c r="A19" s="14" t="s">
        <v>28</v>
      </c>
      <c r="B19" s="183"/>
      <c r="C19" s="183"/>
      <c r="D19" s="183"/>
      <c r="E19" s="183"/>
      <c r="F19" s="183"/>
      <c r="G19" s="183"/>
      <c r="H19" s="183"/>
      <c r="I19" s="205">
        <f t="shared" si="2"/>
        <v>0</v>
      </c>
      <c r="J19" s="189"/>
      <c r="K19" s="213"/>
      <c r="L19" s="189"/>
    </row>
    <row r="20" spans="1:13" ht="15.75" thickBot="1" x14ac:dyDescent="0.3">
      <c r="A20" s="24" t="s">
        <v>30</v>
      </c>
      <c r="B20" s="220"/>
      <c r="C20" s="220"/>
      <c r="D20" s="220"/>
      <c r="E20" s="220"/>
      <c r="F20" s="220"/>
      <c r="G20" s="220">
        <f>SUMIF(HK!A:A,"093*",HK!L:L)-SUMIF(HK!A:A,"093*",HK!K:K)</f>
        <v>0</v>
      </c>
      <c r="H20" s="220">
        <f>SUMIF(SUA!C:C,"010",SUA!E:E)</f>
        <v>0</v>
      </c>
      <c r="I20" s="207">
        <f>I17+I18-I19</f>
        <v>0</v>
      </c>
      <c r="J20" s="189"/>
      <c r="K20" s="206"/>
      <c r="L20" s="212"/>
      <c r="M20" s="161"/>
    </row>
    <row r="21" spans="1:13" ht="15" customHeight="1" thickTop="1" thickBot="1" x14ac:dyDescent="0.3">
      <c r="A21" s="40" t="s">
        <v>34</v>
      </c>
      <c r="B21" s="221"/>
      <c r="C21" s="221"/>
      <c r="D21" s="221"/>
      <c r="E21" s="221"/>
      <c r="F21" s="221"/>
      <c r="G21" s="221"/>
      <c r="H21" s="221"/>
      <c r="I21" s="209"/>
      <c r="J21" s="189"/>
      <c r="K21" s="189"/>
      <c r="L21" s="189"/>
    </row>
    <row r="22" spans="1:13" ht="15" customHeight="1" thickTop="1" thickBot="1" x14ac:dyDescent="0.3">
      <c r="A22" s="43" t="s">
        <v>32</v>
      </c>
      <c r="B22" s="210"/>
      <c r="C22" s="210"/>
      <c r="D22" s="210"/>
      <c r="E22" s="210"/>
      <c r="F22" s="210"/>
      <c r="G22" s="210"/>
      <c r="H22" s="210"/>
      <c r="I22" s="205">
        <f t="shared" ref="I22" si="3">I6-I12-I17</f>
        <v>0</v>
      </c>
      <c r="J22" s="189"/>
      <c r="K22" s="189"/>
      <c r="L22" s="189"/>
    </row>
    <row r="23" spans="1:13" ht="15" customHeight="1" thickBot="1" x14ac:dyDescent="0.3">
      <c r="A23" s="24" t="s">
        <v>30</v>
      </c>
      <c r="B23" s="211"/>
      <c r="C23" s="211"/>
      <c r="D23" s="211"/>
      <c r="E23" s="211"/>
      <c r="F23" s="211"/>
      <c r="G23" s="211"/>
      <c r="H23" s="211"/>
      <c r="I23" s="207">
        <f t="shared" ref="I23" si="4">I10-I15-I20</f>
        <v>0</v>
      </c>
      <c r="J23" s="189"/>
      <c r="K23" s="189"/>
      <c r="L23" s="189"/>
    </row>
    <row r="24" spans="1:13" ht="15.75" thickTop="1" x14ac:dyDescent="0.25">
      <c r="A24" s="46"/>
      <c r="B24" s="214"/>
      <c r="C24" s="214"/>
      <c r="D24" s="214"/>
      <c r="E24" s="214"/>
      <c r="F24" s="214"/>
      <c r="G24" s="214"/>
      <c r="H24" s="214"/>
      <c r="I24" s="214"/>
      <c r="J24" s="189"/>
      <c r="K24" s="189"/>
      <c r="L24" s="189"/>
    </row>
    <row r="25" spans="1:13" x14ac:dyDescent="0.25">
      <c r="A25" s="47"/>
      <c r="B25" s="215"/>
      <c r="C25" s="215"/>
      <c r="D25" s="215"/>
      <c r="E25" s="215"/>
      <c r="F25" s="215"/>
      <c r="G25" s="215"/>
      <c r="H25" s="215"/>
      <c r="I25" s="215"/>
      <c r="J25" s="189"/>
      <c r="K25" s="189"/>
      <c r="L25" s="189"/>
    </row>
    <row r="26" spans="1:13" x14ac:dyDescent="0.25">
      <c r="A26" s="47" t="s">
        <v>15</v>
      </c>
      <c r="B26" s="215"/>
      <c r="C26" s="215"/>
      <c r="D26" s="215"/>
      <c r="E26" s="215"/>
      <c r="F26" s="215"/>
      <c r="G26" s="215"/>
      <c r="H26" s="215"/>
      <c r="I26" s="215"/>
      <c r="J26" s="189"/>
      <c r="K26" s="189"/>
      <c r="L26" s="189"/>
    </row>
    <row r="27" spans="1:13" ht="15.75" thickBot="1" x14ac:dyDescent="0.3">
      <c r="A27" s="46"/>
      <c r="B27" s="214"/>
      <c r="C27" s="214"/>
      <c r="D27" s="214"/>
      <c r="E27" s="214"/>
      <c r="F27" s="214"/>
      <c r="G27" s="214"/>
      <c r="H27" s="214"/>
      <c r="I27" s="215"/>
      <c r="J27" s="189"/>
      <c r="K27" s="189"/>
      <c r="L27" s="189"/>
    </row>
    <row r="28" spans="1:13" ht="15" customHeight="1" thickTop="1" thickBot="1" x14ac:dyDescent="0.3">
      <c r="A28" s="359" t="s">
        <v>20</v>
      </c>
      <c r="B28" s="364" t="s">
        <v>3</v>
      </c>
      <c r="C28" s="365"/>
      <c r="D28" s="365"/>
      <c r="E28" s="365"/>
      <c r="F28" s="365"/>
      <c r="G28" s="365"/>
      <c r="H28" s="365"/>
      <c r="I28" s="366"/>
      <c r="J28" s="189"/>
      <c r="K28" s="189"/>
      <c r="L28" s="189"/>
    </row>
    <row r="29" spans="1:13" ht="35.25" thickTop="1" thickBot="1" x14ac:dyDescent="0.3">
      <c r="A29" s="363"/>
      <c r="B29" s="216" t="s">
        <v>441</v>
      </c>
      <c r="C29" s="217" t="s">
        <v>21</v>
      </c>
      <c r="D29" s="217" t="s">
        <v>442</v>
      </c>
      <c r="E29" s="218" t="s">
        <v>22</v>
      </c>
      <c r="F29" s="216" t="s">
        <v>23</v>
      </c>
      <c r="G29" s="217" t="s">
        <v>443</v>
      </c>
      <c r="H29" s="217" t="s">
        <v>24</v>
      </c>
      <c r="I29" s="217" t="s">
        <v>14</v>
      </c>
      <c r="J29" s="189"/>
      <c r="K29" s="189"/>
      <c r="L29" s="189"/>
    </row>
    <row r="30" spans="1:13" ht="15" customHeight="1" thickTop="1" thickBot="1" x14ac:dyDescent="0.3">
      <c r="A30" s="40" t="s">
        <v>25</v>
      </c>
      <c r="B30" s="208"/>
      <c r="C30" s="208"/>
      <c r="D30" s="208"/>
      <c r="E30" s="208"/>
      <c r="F30" s="208"/>
      <c r="G30" s="208"/>
      <c r="H30" s="208"/>
      <c r="I30" s="209"/>
      <c r="J30" s="189"/>
      <c r="K30" s="189"/>
      <c r="L30" s="189"/>
    </row>
    <row r="31" spans="1:13" ht="16.5" thickTop="1" thickBot="1" x14ac:dyDescent="0.3">
      <c r="A31" s="43" t="s">
        <v>26</v>
      </c>
      <c r="B31" s="220">
        <f>SUMIF(HKM!A:A,"012*",HKM!C:C)-SUMIF(HKM!A:A,"012*",HKM!D:D)</f>
        <v>0</v>
      </c>
      <c r="C31" s="220">
        <f>SUMIF(HKM!A:A,"013*",HKM!C:C)-SUMIF(HKM!A:A,"013*",HKM!D:D)</f>
        <v>14846.87</v>
      </c>
      <c r="D31" s="220">
        <f>SUMIF(HKM!A:A,"014*",HKM!C:C)-SUMIF(HKM!A:A,"014*",HKM!D:D)</f>
        <v>1885.41</v>
      </c>
      <c r="E31" s="220">
        <f>SUMIF(HKM!A:A,"015*",HKM!C:C)-SUMIF(HKM!A:A,"015*",HKM!D:D)</f>
        <v>0</v>
      </c>
      <c r="F31" s="220">
        <f>SUMIF(HKM!A:A,"019*",HKM!C:C)-SUMIF(HKM!A:A,"019*",HKM!D:D)</f>
        <v>0</v>
      </c>
      <c r="G31" s="220">
        <f>SUMIF(HKM!A:A,"041*",HKM!C:C)-SUMIF(HKM!A:A,"041*",HKM!D:D)</f>
        <v>0</v>
      </c>
      <c r="H31" s="220">
        <f>SUMIF(HKM!A:A,"051*",HKM!C:C)-SUMIF(HKM!A:A,"051*",HKM!D:D)</f>
        <v>0</v>
      </c>
      <c r="I31" s="205">
        <f>SUM(B31:H31)</f>
        <v>16732.280000000002</v>
      </c>
      <c r="J31" s="189"/>
      <c r="K31" s="206"/>
      <c r="L31" s="189"/>
    </row>
    <row r="32" spans="1:13" ht="15" customHeight="1" thickBot="1" x14ac:dyDescent="0.3">
      <c r="A32" s="14" t="s">
        <v>27</v>
      </c>
      <c r="B32" s="183"/>
      <c r="C32" s="183"/>
      <c r="D32" s="183"/>
      <c r="E32" s="183"/>
      <c r="F32" s="184"/>
      <c r="G32" s="183"/>
      <c r="H32" s="183"/>
      <c r="I32" s="205">
        <f>SUM(B32:H32)</f>
        <v>0</v>
      </c>
      <c r="J32" s="189"/>
      <c r="K32" s="189"/>
      <c r="L32" s="189"/>
    </row>
    <row r="33" spans="1:13" ht="15" customHeight="1" thickBot="1" x14ac:dyDescent="0.3">
      <c r="A33" s="14" t="s">
        <v>28</v>
      </c>
      <c r="B33" s="183"/>
      <c r="C33" s="183"/>
      <c r="D33" s="183">
        <v>1885</v>
      </c>
      <c r="E33" s="183"/>
      <c r="F33" s="184"/>
      <c r="G33" s="183"/>
      <c r="H33" s="183"/>
      <c r="I33" s="205">
        <f t="shared" ref="I33:I34" si="5">SUM(B33:H33)</f>
        <v>1885</v>
      </c>
      <c r="J33" s="189"/>
      <c r="K33" s="189"/>
      <c r="L33" s="189"/>
    </row>
    <row r="34" spans="1:13" ht="15" customHeight="1" thickBot="1" x14ac:dyDescent="0.3">
      <c r="A34" s="14" t="s">
        <v>29</v>
      </c>
      <c r="B34" s="183"/>
      <c r="C34" s="183"/>
      <c r="D34" s="183"/>
      <c r="E34" s="183"/>
      <c r="F34" s="184"/>
      <c r="G34" s="183"/>
      <c r="H34" s="183"/>
      <c r="I34" s="205">
        <f t="shared" si="5"/>
        <v>0</v>
      </c>
      <c r="J34" s="189"/>
      <c r="K34" s="189"/>
      <c r="L34" s="189"/>
    </row>
    <row r="35" spans="1:13" ht="15.75" thickBot="1" x14ac:dyDescent="0.3">
      <c r="A35" s="24" t="s">
        <v>30</v>
      </c>
      <c r="B35" s="220">
        <f>SUMIF(HKM!A:A,"012*",HKM!K:K)-SUMIF(HKM!A:A,"012*",HKM!L:L)</f>
        <v>0</v>
      </c>
      <c r="C35" s="220">
        <f>SUMIF(HKM!A:A,"013*",HKM!K:K)-SUMIF(HKM!A:A,"013*",HKM!L:L)</f>
        <v>14846.87</v>
      </c>
      <c r="D35" s="220">
        <f>SUMIF(HKM!A:A,"014*",HKM!K:K)-SUMIF(HKM!A:A,"014*",HKM!L:L)</f>
        <v>0</v>
      </c>
      <c r="E35" s="220">
        <f>SUMIF(HKM!A:A,"015*",HKM!K:K)-SUMIF(HKM!A:A,"015*",HKM!L:L)</f>
        <v>0</v>
      </c>
      <c r="F35" s="220">
        <f>SUMIF(HKM!A:A,"019*",HKM!K:K)-SUMIF(HKM!A:A,"019*",HKM!L:L)</f>
        <v>0</v>
      </c>
      <c r="G35" s="220">
        <f>SUMIF(HKM!A:A,"041*",HKM!K:K)-SUMIF(HKM!A:A,"041*",HKM!L:L)</f>
        <v>0</v>
      </c>
      <c r="H35" s="220">
        <f>SUMIF(HKM!A:A,"051*",HKM!K:K)-SUMIF(HKM!A:A,"051*",HKM!L:L)</f>
        <v>0</v>
      </c>
      <c r="I35" s="207">
        <f>I31+I32-I33+I34</f>
        <v>14847.280000000002</v>
      </c>
      <c r="J35" s="189"/>
      <c r="K35" s="206"/>
      <c r="L35" s="189"/>
    </row>
    <row r="36" spans="1:13" ht="15" customHeight="1" thickTop="1" thickBot="1" x14ac:dyDescent="0.3">
      <c r="A36" s="40" t="s">
        <v>31</v>
      </c>
      <c r="B36" s="225"/>
      <c r="C36" s="225"/>
      <c r="D36" s="225"/>
      <c r="E36" s="225"/>
      <c r="F36" s="225"/>
      <c r="G36" s="225"/>
      <c r="H36" s="225"/>
      <c r="I36" s="209"/>
      <c r="J36" s="189"/>
      <c r="K36" s="189"/>
      <c r="L36" s="189"/>
    </row>
    <row r="37" spans="1:13" ht="16.5" thickTop="1" thickBot="1" x14ac:dyDescent="0.3">
      <c r="A37" s="43" t="s">
        <v>32</v>
      </c>
      <c r="B37" s="220">
        <f>SUMIF(HKM!A:A,"071*",HKM!D:D)-SUMIF(HKM!A:A,"071*",HKM!C:C)</f>
        <v>0</v>
      </c>
      <c r="C37" s="220">
        <f>SUMIF(HKM!A:A,"073*",HKM!D:D)-SUMIF(HKM!A:A,"073*",HKM!C:C)</f>
        <v>14348.87</v>
      </c>
      <c r="D37" s="220">
        <f>SUMIF(HKM!A:A,"074*",HKM!D:D)-SUMIF(HKM!A:A,"074*",HKM!C:C)</f>
        <v>1885.41</v>
      </c>
      <c r="E37" s="220">
        <f>SUMIF(HKM!A:A,"075*",HKM!D:D)-SUMIF(HKM!A:A,"075*",HKM!C:C)</f>
        <v>0</v>
      </c>
      <c r="F37" s="220">
        <f>SUMIF(HKM!A:A,"079*",HKM!D:D)-SUMIF(HKM!A:A,"079*",HKM!C:C)</f>
        <v>0</v>
      </c>
      <c r="G37" s="220"/>
      <c r="H37" s="220"/>
      <c r="I37" s="205">
        <f>SUM(B37:H37)</f>
        <v>16234.28</v>
      </c>
      <c r="J37" s="189"/>
      <c r="K37" s="206"/>
      <c r="L37" s="189"/>
    </row>
    <row r="38" spans="1:13" ht="15" customHeight="1" thickBot="1" x14ac:dyDescent="0.3">
      <c r="A38" s="14" t="s">
        <v>27</v>
      </c>
      <c r="B38" s="183"/>
      <c r="C38" s="183">
        <v>498</v>
      </c>
      <c r="D38" s="183"/>
      <c r="E38" s="183"/>
      <c r="F38" s="183"/>
      <c r="G38" s="183"/>
      <c r="H38" s="183"/>
      <c r="I38" s="205">
        <f t="shared" ref="I38:I39" si="6">SUM(B38:H38)</f>
        <v>498</v>
      </c>
      <c r="J38" s="189"/>
      <c r="K38" s="189"/>
      <c r="L38" s="189"/>
    </row>
    <row r="39" spans="1:13" ht="15" customHeight="1" thickBot="1" x14ac:dyDescent="0.3">
      <c r="A39" s="14" t="s">
        <v>28</v>
      </c>
      <c r="B39" s="183"/>
      <c r="C39" s="183"/>
      <c r="D39" s="183">
        <v>1885</v>
      </c>
      <c r="E39" s="183"/>
      <c r="F39" s="183"/>
      <c r="G39" s="183"/>
      <c r="H39" s="183"/>
      <c r="I39" s="205">
        <f t="shared" si="6"/>
        <v>1885</v>
      </c>
      <c r="J39" s="189"/>
      <c r="K39" s="189"/>
      <c r="L39" s="189"/>
    </row>
    <row r="40" spans="1:13" ht="15.75" thickBot="1" x14ac:dyDescent="0.3">
      <c r="A40" s="24" t="s">
        <v>30</v>
      </c>
      <c r="B40" s="220">
        <f>SUMIF(HKM!A:A,"071*",HKM!L:L)-SUMIF(HKM!A:A,"071*",HKM!K:K)</f>
        <v>0</v>
      </c>
      <c r="C40" s="220">
        <f>SUMIF(HKM!A:A,"073*",HKM!L:L)-SUMIF(HKM!A:A,"073*",HKM!K:K)</f>
        <v>14846.87</v>
      </c>
      <c r="D40" s="220">
        <f>SUMIF(HKM!A:A,"074*",HKM!L:L)-SUMIF(HKM!A:A,"074*",HKM!K:K)</f>
        <v>0</v>
      </c>
      <c r="E40" s="220">
        <f>SUMIF(HKM!A:A,"075*",HKM!L:L)-SUMIF(HKM!A:A,"075*",HKM!K:K)</f>
        <v>0</v>
      </c>
      <c r="F40" s="220">
        <f>SUMIF(HKM!A:A,"079*",HKM!L:L)-SUMIF(HKM!A:A,"079*",HKM!K:K)</f>
        <v>0</v>
      </c>
      <c r="G40" s="186"/>
      <c r="H40" s="186"/>
      <c r="I40" s="207">
        <f>I37+I38-I39</f>
        <v>14847.279999999999</v>
      </c>
      <c r="J40" s="189"/>
      <c r="K40" s="206"/>
      <c r="L40" s="189"/>
    </row>
    <row r="41" spans="1:13" ht="15" customHeight="1" thickTop="1" thickBot="1" x14ac:dyDescent="0.3">
      <c r="A41" s="40" t="s">
        <v>33</v>
      </c>
      <c r="B41" s="225"/>
      <c r="C41" s="225"/>
      <c r="D41" s="225"/>
      <c r="E41" s="225"/>
      <c r="F41" s="225"/>
      <c r="G41" s="225"/>
      <c r="H41" s="225"/>
      <c r="I41" s="209"/>
      <c r="J41" s="189"/>
      <c r="K41" s="189"/>
      <c r="L41" s="189"/>
    </row>
    <row r="42" spans="1:13" ht="16.5" thickTop="1" thickBot="1" x14ac:dyDescent="0.3">
      <c r="A42" s="43" t="s">
        <v>32</v>
      </c>
      <c r="B42" s="220"/>
      <c r="C42" s="220"/>
      <c r="D42" s="220"/>
      <c r="E42" s="220"/>
      <c r="F42" s="220"/>
      <c r="G42" s="220">
        <f>SUMIF(HKM!A:A,"093*",HKM!D:D)-SUMIF(HKM!A:A,"093*",HKM!C:C)</f>
        <v>0</v>
      </c>
      <c r="H42" s="220"/>
      <c r="I42" s="205">
        <f>SUM(B42:H42)</f>
        <v>0</v>
      </c>
      <c r="J42" s="189"/>
      <c r="K42" s="206"/>
      <c r="L42" s="219"/>
      <c r="M42" s="161"/>
    </row>
    <row r="43" spans="1:13" ht="15" customHeight="1" thickBot="1" x14ac:dyDescent="0.3">
      <c r="A43" s="14" t="s">
        <v>27</v>
      </c>
      <c r="B43" s="183"/>
      <c r="C43" s="183"/>
      <c r="D43" s="183"/>
      <c r="E43" s="183"/>
      <c r="F43" s="183"/>
      <c r="G43" s="183"/>
      <c r="H43" s="183"/>
      <c r="I43" s="205">
        <f t="shared" ref="I43:I44" si="7">SUM(B43:H43)</f>
        <v>0</v>
      </c>
      <c r="J43" s="189"/>
      <c r="K43" s="213"/>
      <c r="L43" s="189"/>
    </row>
    <row r="44" spans="1:13" ht="15" customHeight="1" thickBot="1" x14ac:dyDescent="0.3">
      <c r="A44" s="14" t="s">
        <v>28</v>
      </c>
      <c r="B44" s="183"/>
      <c r="C44" s="183"/>
      <c r="D44" s="183"/>
      <c r="E44" s="183"/>
      <c r="F44" s="183"/>
      <c r="G44" s="183"/>
      <c r="H44" s="183"/>
      <c r="I44" s="205">
        <f t="shared" si="7"/>
        <v>0</v>
      </c>
      <c r="J44" s="189"/>
      <c r="K44" s="213"/>
      <c r="L44" s="189"/>
    </row>
    <row r="45" spans="1:13" ht="15.75" thickBot="1" x14ac:dyDescent="0.3">
      <c r="A45" s="24" t="s">
        <v>30</v>
      </c>
      <c r="B45" s="220"/>
      <c r="C45" s="220"/>
      <c r="D45" s="220"/>
      <c r="E45" s="220"/>
      <c r="F45" s="220"/>
      <c r="G45" s="220">
        <f>SUMIF(HKM!A:A,"093*",HKM!L:L)-SUMIF(HKM!A:A,"093*",HKM!K:K)</f>
        <v>0</v>
      </c>
      <c r="H45" s="220">
        <f>SUMIF(SUAM!C:C,"010",SUAM!E:E)</f>
        <v>0</v>
      </c>
      <c r="I45" s="207">
        <f>I42+I43-I44</f>
        <v>0</v>
      </c>
      <c r="J45" s="189"/>
      <c r="K45" s="206"/>
      <c r="L45" s="212"/>
      <c r="M45" s="161"/>
    </row>
    <row r="46" spans="1:13" ht="15" customHeight="1" thickTop="1" thickBot="1" x14ac:dyDescent="0.3">
      <c r="A46" s="40" t="s">
        <v>34</v>
      </c>
      <c r="B46" s="225"/>
      <c r="C46" s="225"/>
      <c r="D46" s="225"/>
      <c r="E46" s="225"/>
      <c r="F46" s="225"/>
      <c r="G46" s="225"/>
      <c r="H46" s="225"/>
      <c r="I46" s="209"/>
      <c r="J46" s="189"/>
      <c r="K46" s="189"/>
      <c r="L46" s="189"/>
    </row>
    <row r="47" spans="1:13" ht="15" customHeight="1" thickTop="1" thickBot="1" x14ac:dyDescent="0.3">
      <c r="A47" s="43" t="s">
        <v>32</v>
      </c>
      <c r="B47" s="183"/>
      <c r="C47" s="183">
        <v>498</v>
      </c>
      <c r="D47" s="183"/>
      <c r="E47" s="183"/>
      <c r="F47" s="183"/>
      <c r="G47" s="183"/>
      <c r="H47" s="183"/>
      <c r="I47" s="205">
        <f t="shared" ref="I47" si="8">I31-I37-I42</f>
        <v>498.00000000000182</v>
      </c>
      <c r="J47" s="189"/>
      <c r="K47" s="189"/>
      <c r="L47" s="189"/>
    </row>
    <row r="48" spans="1:13" ht="15" customHeight="1" thickBot="1" x14ac:dyDescent="0.3">
      <c r="A48" s="24" t="s">
        <v>30</v>
      </c>
      <c r="B48" s="186"/>
      <c r="C48" s="186"/>
      <c r="D48" s="186"/>
      <c r="E48" s="186"/>
      <c r="F48" s="186"/>
      <c r="G48" s="186"/>
      <c r="H48" s="186"/>
      <c r="I48" s="207">
        <f t="shared" ref="I48" si="9">I35-I40-I45</f>
        <v>3.637978807091713E-12</v>
      </c>
      <c r="J48" s="189"/>
      <c r="K48" s="189"/>
      <c r="L48" s="189"/>
    </row>
    <row r="49" spans="2:12" ht="15.75" thickTop="1" x14ac:dyDescent="0.25"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</row>
  </sheetData>
  <mergeCells count="4">
    <mergeCell ref="A28:A29"/>
    <mergeCell ref="B28:I28"/>
    <mergeCell ref="A3:A4"/>
    <mergeCell ref="B3:I3"/>
  </mergeCells>
  <pageMargins left="0.7" right="0.7" top="0.75" bottom="0.75" header="0.3" footer="0.3"/>
  <pageSetup paperSize="9" orientation="portrait" horizontalDpi="300" verticalDpi="3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13"/>
  <sheetViews>
    <sheetView showGridLines="0" zoomScaleNormal="100" workbookViewId="0">
      <selection activeCell="C32" sqref="C32"/>
    </sheetView>
  </sheetViews>
  <sheetFormatPr defaultRowHeight="15" x14ac:dyDescent="0.25"/>
  <cols>
    <col min="1" max="3" width="28.8554687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338</v>
      </c>
    </row>
    <row r="2" spans="1:3" ht="33" customHeight="1" thickTop="1" thickBot="1" x14ac:dyDescent="0.3">
      <c r="A2" s="79" t="s">
        <v>131</v>
      </c>
      <c r="B2" s="65" t="s">
        <v>2</v>
      </c>
      <c r="C2" s="65" t="s">
        <v>3</v>
      </c>
    </row>
    <row r="3" spans="1:3" ht="18.75" customHeight="1" thickTop="1" thickBot="1" x14ac:dyDescent="0.3">
      <c r="A3" s="138" t="s">
        <v>339</v>
      </c>
      <c r="B3" s="75"/>
      <c r="C3" s="75"/>
    </row>
    <row r="4" spans="1:3" ht="18.75" customHeight="1" thickBot="1" x14ac:dyDescent="0.3">
      <c r="A4" s="139" t="s">
        <v>340</v>
      </c>
      <c r="B4" s="75"/>
      <c r="C4" s="75"/>
    </row>
    <row r="5" spans="1:3" ht="18.75" customHeight="1" thickBot="1" x14ac:dyDescent="0.3">
      <c r="A5" s="66" t="s">
        <v>341</v>
      </c>
      <c r="B5" s="75"/>
      <c r="C5" s="75"/>
    </row>
    <row r="6" spans="1:3" ht="18.75" customHeight="1" thickBot="1" x14ac:dyDescent="0.3">
      <c r="A6" s="138" t="s">
        <v>342</v>
      </c>
      <c r="B6" s="75"/>
      <c r="C6" s="75"/>
    </row>
    <row r="7" spans="1:3" ht="18.75" customHeight="1" thickBot="1" x14ac:dyDescent="0.3">
      <c r="A7" s="140" t="s">
        <v>343</v>
      </c>
      <c r="B7" s="75"/>
      <c r="C7" s="75"/>
    </row>
    <row r="8" spans="1:3" ht="18.75" customHeight="1" thickBot="1" x14ac:dyDescent="0.3">
      <c r="A8" s="118" t="s">
        <v>344</v>
      </c>
      <c r="B8" s="75"/>
      <c r="C8" s="75"/>
    </row>
    <row r="9" spans="1:3" ht="18.75" customHeight="1" thickBot="1" x14ac:dyDescent="0.3">
      <c r="A9" s="139" t="s">
        <v>345</v>
      </c>
      <c r="B9" s="75"/>
      <c r="C9" s="75"/>
    </row>
    <row r="10" spans="1:3" ht="18.75" customHeight="1" thickBot="1" x14ac:dyDescent="0.3">
      <c r="A10" s="138" t="s">
        <v>346</v>
      </c>
      <c r="B10" s="115"/>
      <c r="C10" s="115"/>
    </row>
    <row r="11" spans="1:3" ht="18.75" customHeight="1" thickBot="1" x14ac:dyDescent="0.3">
      <c r="A11" s="141" t="s">
        <v>347</v>
      </c>
      <c r="B11" s="116"/>
      <c r="C11" s="116"/>
    </row>
    <row r="12" spans="1:3" ht="17.25" thickTop="1" x14ac:dyDescent="0.3">
      <c r="A12" s="1"/>
    </row>
    <row r="13" spans="1:3" x14ac:dyDescent="0.25">
      <c r="A13" s="335" t="s">
        <v>1481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21"/>
  <sheetViews>
    <sheetView showGridLines="0" zoomScaleNormal="100" workbookViewId="0">
      <selection activeCell="A21" sqref="A21"/>
    </sheetView>
  </sheetViews>
  <sheetFormatPr defaultRowHeight="15" x14ac:dyDescent="0.25"/>
  <cols>
    <col min="1" max="1" width="27.28515625" customWidth="1"/>
    <col min="2" max="3" width="29.5703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4" ht="16.5" x14ac:dyDescent="0.3">
      <c r="A1" s="1" t="s">
        <v>348</v>
      </c>
    </row>
    <row r="2" spans="1:4" ht="15.75" thickBot="1" x14ac:dyDescent="0.3">
      <c r="A2" s="47" t="s">
        <v>8</v>
      </c>
      <c r="B2" s="20"/>
      <c r="C2" s="20"/>
      <c r="D2" s="20"/>
    </row>
    <row r="3" spans="1:4" ht="16.5" thickTop="1" thickBot="1" x14ac:dyDescent="0.3">
      <c r="A3" s="383" t="s">
        <v>349</v>
      </c>
      <c r="B3" s="361" t="s">
        <v>350</v>
      </c>
      <c r="C3" s="362"/>
      <c r="D3" s="20"/>
    </row>
    <row r="4" spans="1:4" ht="16.5" thickTop="1" thickBot="1" x14ac:dyDescent="0.3">
      <c r="A4" s="385"/>
      <c r="B4" s="21" t="s">
        <v>351</v>
      </c>
      <c r="C4" s="142" t="s">
        <v>352</v>
      </c>
      <c r="D4" s="20"/>
    </row>
    <row r="5" spans="1:4" ht="20.25" customHeight="1" thickTop="1" thickBot="1" x14ac:dyDescent="0.3">
      <c r="A5" s="14" t="s">
        <v>353</v>
      </c>
      <c r="B5" s="75"/>
      <c r="C5" s="75"/>
      <c r="D5" s="20"/>
    </row>
    <row r="6" spans="1:4" ht="20.25" customHeight="1" thickBot="1" x14ac:dyDescent="0.3">
      <c r="A6" s="14" t="s">
        <v>354</v>
      </c>
      <c r="B6" s="75"/>
      <c r="C6" s="75"/>
      <c r="D6" s="20"/>
    </row>
    <row r="7" spans="1:4" ht="23.25" thickBot="1" x14ac:dyDescent="0.3">
      <c r="A7" s="14" t="s">
        <v>355</v>
      </c>
      <c r="B7" s="75"/>
      <c r="C7" s="75"/>
      <c r="D7" s="20"/>
    </row>
    <row r="8" spans="1:4" ht="20.25" customHeight="1" thickBot="1" x14ac:dyDescent="0.3">
      <c r="A8" s="14" t="s">
        <v>356</v>
      </c>
      <c r="B8" s="75"/>
      <c r="C8" s="75"/>
      <c r="D8" s="20"/>
    </row>
    <row r="9" spans="1:4" ht="20.25" customHeight="1" thickBot="1" x14ac:dyDescent="0.3">
      <c r="A9" s="14" t="s">
        <v>357</v>
      </c>
      <c r="B9" s="75"/>
      <c r="C9" s="75"/>
      <c r="D9" s="20"/>
    </row>
    <row r="10" spans="1:4" ht="20.25" customHeight="1" thickBot="1" x14ac:dyDescent="0.3">
      <c r="A10" s="16" t="s">
        <v>358</v>
      </c>
      <c r="B10" s="73"/>
      <c r="C10" s="73"/>
      <c r="D10" s="20"/>
    </row>
    <row r="11" spans="1:4" ht="16.5" thickTop="1" thickBot="1" x14ac:dyDescent="0.3">
      <c r="A11" s="143" t="s">
        <v>15</v>
      </c>
      <c r="B11" s="20"/>
      <c r="C11" s="20"/>
      <c r="D11" s="20"/>
    </row>
    <row r="12" spans="1:4" ht="16.5" thickTop="1" thickBot="1" x14ac:dyDescent="0.3">
      <c r="A12" s="359" t="s">
        <v>349</v>
      </c>
      <c r="B12" s="361" t="s">
        <v>359</v>
      </c>
      <c r="C12" s="362"/>
      <c r="D12" s="20"/>
    </row>
    <row r="13" spans="1:4" ht="16.5" thickTop="1" thickBot="1" x14ac:dyDescent="0.3">
      <c r="A13" s="360"/>
      <c r="B13" s="21" t="s">
        <v>351</v>
      </c>
      <c r="C13" s="142" t="s">
        <v>352</v>
      </c>
      <c r="D13" s="20"/>
    </row>
    <row r="14" spans="1:4" ht="20.25" customHeight="1" thickTop="1" thickBot="1" x14ac:dyDescent="0.3">
      <c r="A14" s="14" t="s">
        <v>353</v>
      </c>
      <c r="B14" s="75"/>
      <c r="C14" s="75"/>
      <c r="D14" s="20"/>
    </row>
    <row r="15" spans="1:4" ht="20.25" customHeight="1" thickBot="1" x14ac:dyDescent="0.3">
      <c r="A15" s="14" t="s">
        <v>354</v>
      </c>
      <c r="B15" s="75"/>
      <c r="C15" s="75"/>
      <c r="D15" s="20"/>
    </row>
    <row r="16" spans="1:4" ht="23.25" thickBot="1" x14ac:dyDescent="0.3">
      <c r="A16" s="14" t="s">
        <v>355</v>
      </c>
      <c r="B16" s="75"/>
      <c r="C16" s="75"/>
      <c r="D16" s="20"/>
    </row>
    <row r="17" spans="1:4" ht="20.25" customHeight="1" thickBot="1" x14ac:dyDescent="0.3">
      <c r="A17" s="14" t="s">
        <v>356</v>
      </c>
      <c r="B17" s="75"/>
      <c r="C17" s="75"/>
      <c r="D17" s="20"/>
    </row>
    <row r="18" spans="1:4" ht="20.25" customHeight="1" thickBot="1" x14ac:dyDescent="0.3">
      <c r="A18" s="14" t="s">
        <v>357</v>
      </c>
      <c r="B18" s="75"/>
      <c r="C18" s="75"/>
      <c r="D18" s="20"/>
    </row>
    <row r="19" spans="1:4" ht="20.25" customHeight="1" thickBot="1" x14ac:dyDescent="0.3">
      <c r="A19" s="129" t="s">
        <v>358</v>
      </c>
      <c r="B19" s="73"/>
      <c r="C19" s="73"/>
      <c r="D19" s="20"/>
    </row>
    <row r="20" spans="1:4" ht="15.75" thickTop="1" x14ac:dyDescent="0.25">
      <c r="A20" s="20"/>
      <c r="B20" s="20"/>
      <c r="C20" s="20"/>
      <c r="D20" s="20"/>
    </row>
    <row r="21" spans="1:4" x14ac:dyDescent="0.25">
      <c r="A21" s="321" t="s">
        <v>1481</v>
      </c>
    </row>
  </sheetData>
  <mergeCells count="4">
    <mergeCell ref="A3:A4"/>
    <mergeCell ref="B3:C3"/>
    <mergeCell ref="A12:A13"/>
    <mergeCell ref="B12:C12"/>
  </mergeCells>
  <pageMargins left="0.7" right="0.7" top="0.75" bottom="0.75" header="0.3" footer="0.3"/>
  <pageSetup paperSize="9" orientation="portrait" horizontalDpi="300" verticalDpi="30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12"/>
  <sheetViews>
    <sheetView showGridLines="0" zoomScaleNormal="100" workbookViewId="0">
      <selection activeCell="B23" sqref="B23"/>
    </sheetView>
  </sheetViews>
  <sheetFormatPr defaultRowHeight="15" x14ac:dyDescent="0.25"/>
  <cols>
    <col min="1" max="1" width="27.28515625" customWidth="1"/>
    <col min="2" max="3" width="29.5703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360</v>
      </c>
    </row>
    <row r="2" spans="1:3" ht="24" thickTop="1" thickBot="1" x14ac:dyDescent="0.3">
      <c r="A2" s="79" t="s">
        <v>361</v>
      </c>
      <c r="B2" s="65" t="s">
        <v>362</v>
      </c>
      <c r="C2" s="65" t="s">
        <v>363</v>
      </c>
    </row>
    <row r="3" spans="1:3" ht="20.25" customHeight="1" thickTop="1" thickBot="1" x14ac:dyDescent="0.3">
      <c r="A3" s="112" t="s">
        <v>364</v>
      </c>
      <c r="B3" s="75"/>
      <c r="C3" s="75"/>
    </row>
    <row r="4" spans="1:3" ht="20.25" customHeight="1" thickBot="1" x14ac:dyDescent="0.3">
      <c r="A4" s="118" t="s">
        <v>365</v>
      </c>
      <c r="B4" s="75"/>
      <c r="C4" s="75"/>
    </row>
    <row r="5" spans="1:3" ht="20.25" customHeight="1" thickBot="1" x14ac:dyDescent="0.3">
      <c r="A5" s="118" t="s">
        <v>366</v>
      </c>
      <c r="B5" s="75"/>
      <c r="C5" s="75"/>
    </row>
    <row r="6" spans="1:3" ht="20.25" customHeight="1" thickBot="1" x14ac:dyDescent="0.3">
      <c r="A6" s="118" t="s">
        <v>367</v>
      </c>
      <c r="B6" s="75"/>
      <c r="C6" s="75"/>
    </row>
    <row r="7" spans="1:3" ht="34.5" thickBot="1" x14ac:dyDescent="0.3">
      <c r="A7" s="118" t="s">
        <v>493</v>
      </c>
      <c r="B7" s="75"/>
      <c r="C7" s="75"/>
    </row>
    <row r="8" spans="1:3" ht="20.25" customHeight="1" thickBot="1" x14ac:dyDescent="0.3">
      <c r="A8" s="109" t="s">
        <v>368</v>
      </c>
      <c r="B8" s="75"/>
      <c r="C8" s="75"/>
    </row>
    <row r="9" spans="1:3" ht="20.25" customHeight="1" thickBot="1" x14ac:dyDescent="0.3">
      <c r="A9" s="112" t="s">
        <v>369</v>
      </c>
      <c r="B9" s="75"/>
      <c r="C9" s="115"/>
    </row>
    <row r="10" spans="1:3" ht="20.25" customHeight="1" thickBot="1" x14ac:dyDescent="0.3">
      <c r="A10" s="119" t="s">
        <v>370</v>
      </c>
      <c r="B10" s="73"/>
      <c r="C10" s="116"/>
    </row>
    <row r="11" spans="1:3" ht="15.75" thickTop="1" x14ac:dyDescent="0.25"/>
    <row r="12" spans="1:3" x14ac:dyDescent="0.25">
      <c r="A12" s="322" t="s">
        <v>1481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21"/>
  <sheetViews>
    <sheetView showGridLines="0" zoomScaleNormal="100" workbookViewId="0">
      <selection activeCell="A21" sqref="A21"/>
    </sheetView>
  </sheetViews>
  <sheetFormatPr defaultRowHeight="15" x14ac:dyDescent="0.25"/>
  <cols>
    <col min="1" max="1" width="17.7109375" customWidth="1"/>
    <col min="2" max="7" width="11.42578125" customWidth="1"/>
  </cols>
  <sheetData>
    <row r="1" spans="1:9" ht="17.25" thickBot="1" x14ac:dyDescent="0.35">
      <c r="A1" s="1" t="s">
        <v>371</v>
      </c>
    </row>
    <row r="2" spans="1:9" ht="25.5" customHeight="1" thickTop="1" thickBot="1" x14ac:dyDescent="0.3">
      <c r="A2" s="383" t="s">
        <v>372</v>
      </c>
      <c r="B2" s="378" t="s">
        <v>373</v>
      </c>
      <c r="C2" s="395"/>
      <c r="D2" s="395"/>
      <c r="E2" s="378" t="s">
        <v>374</v>
      </c>
      <c r="F2" s="395"/>
      <c r="G2" s="379"/>
      <c r="H2" s="20"/>
      <c r="I2" s="20"/>
    </row>
    <row r="3" spans="1:9" ht="20.25" customHeight="1" thickTop="1" thickBot="1" x14ac:dyDescent="0.3">
      <c r="A3" s="384"/>
      <c r="B3" s="57" t="s">
        <v>375</v>
      </c>
      <c r="C3" s="57" t="s">
        <v>376</v>
      </c>
      <c r="D3" s="64" t="s">
        <v>377</v>
      </c>
      <c r="E3" s="57" t="s">
        <v>375</v>
      </c>
      <c r="F3" s="57" t="s">
        <v>376</v>
      </c>
      <c r="G3" s="57" t="s">
        <v>377</v>
      </c>
      <c r="H3" s="20"/>
      <c r="I3" s="20"/>
    </row>
    <row r="4" spans="1:9" ht="20.25" customHeight="1" thickTop="1" thickBot="1" x14ac:dyDescent="0.3">
      <c r="A4" s="384"/>
      <c r="B4" s="396" t="s">
        <v>378</v>
      </c>
      <c r="C4" s="397"/>
      <c r="D4" s="397"/>
      <c r="E4" s="396" t="s">
        <v>378</v>
      </c>
      <c r="F4" s="397"/>
      <c r="G4" s="398"/>
      <c r="H4" s="20"/>
      <c r="I4" s="20"/>
    </row>
    <row r="5" spans="1:9" ht="24.75" customHeight="1" thickBot="1" x14ac:dyDescent="0.3">
      <c r="A5" s="385"/>
      <c r="B5" s="399" t="s">
        <v>379</v>
      </c>
      <c r="C5" s="400"/>
      <c r="D5" s="400"/>
      <c r="E5" s="399" t="s">
        <v>379</v>
      </c>
      <c r="F5" s="400"/>
      <c r="G5" s="401"/>
      <c r="H5" s="20"/>
      <c r="I5" s="20"/>
    </row>
    <row r="6" spans="1:9" ht="20.25" customHeight="1" thickTop="1" thickBot="1" x14ac:dyDescent="0.3">
      <c r="A6" s="391" t="s">
        <v>380</v>
      </c>
      <c r="B6" s="74"/>
      <c r="C6" s="145"/>
      <c r="D6" s="130"/>
      <c r="E6" s="74"/>
      <c r="F6" s="130"/>
      <c r="G6" s="72"/>
      <c r="H6" s="20"/>
      <c r="I6" s="20"/>
    </row>
    <row r="7" spans="1:9" ht="20.25" customHeight="1" thickBot="1" x14ac:dyDescent="0.3">
      <c r="A7" s="394"/>
      <c r="B7" s="74"/>
      <c r="C7" s="146"/>
      <c r="D7" s="110"/>
      <c r="E7" s="74"/>
      <c r="F7" s="110"/>
      <c r="G7" s="111"/>
      <c r="H7" s="20"/>
      <c r="I7" s="20"/>
    </row>
    <row r="8" spans="1:9" ht="20.25" customHeight="1" thickBot="1" x14ac:dyDescent="0.3">
      <c r="A8" s="393" t="s">
        <v>381</v>
      </c>
      <c r="B8" s="74"/>
      <c r="C8" s="146"/>
      <c r="D8" s="110"/>
      <c r="E8" s="74"/>
      <c r="F8" s="110"/>
      <c r="G8" s="111"/>
      <c r="H8" s="20"/>
      <c r="I8" s="20"/>
    </row>
    <row r="9" spans="1:9" ht="20.25" customHeight="1" thickBot="1" x14ac:dyDescent="0.3">
      <c r="A9" s="392"/>
      <c r="B9" s="74"/>
      <c r="C9" s="146"/>
      <c r="D9" s="110"/>
      <c r="E9" s="74"/>
      <c r="F9" s="110"/>
      <c r="G9" s="111"/>
      <c r="H9" s="20"/>
      <c r="I9" s="20"/>
    </row>
    <row r="10" spans="1:9" ht="20.25" customHeight="1" thickTop="1" thickBot="1" x14ac:dyDescent="0.3">
      <c r="A10" s="391" t="s">
        <v>382</v>
      </c>
      <c r="B10" s="74"/>
      <c r="C10" s="146"/>
      <c r="D10" s="110"/>
      <c r="E10" s="74"/>
      <c r="F10" s="110"/>
      <c r="G10" s="111"/>
      <c r="H10" s="20"/>
      <c r="I10" s="20"/>
    </row>
    <row r="11" spans="1:9" ht="20.25" customHeight="1" thickBot="1" x14ac:dyDescent="0.3">
      <c r="A11" s="394"/>
      <c r="B11" s="74"/>
      <c r="C11" s="146"/>
      <c r="D11" s="110"/>
      <c r="E11" s="74"/>
      <c r="F11" s="110"/>
      <c r="G11" s="111"/>
      <c r="H11" s="20"/>
      <c r="I11" s="20"/>
    </row>
    <row r="12" spans="1:9" ht="20.25" customHeight="1" thickBot="1" x14ac:dyDescent="0.3">
      <c r="A12" s="393" t="s">
        <v>383</v>
      </c>
      <c r="B12" s="74"/>
      <c r="C12" s="146"/>
      <c r="D12" s="110"/>
      <c r="E12" s="74"/>
      <c r="F12" s="110"/>
      <c r="G12" s="111"/>
      <c r="H12" s="20"/>
      <c r="I12" s="20"/>
    </row>
    <row r="13" spans="1:9" ht="20.25" customHeight="1" thickBot="1" x14ac:dyDescent="0.3">
      <c r="A13" s="394"/>
      <c r="B13" s="74"/>
      <c r="C13" s="146"/>
      <c r="D13" s="110"/>
      <c r="E13" s="74"/>
      <c r="F13" s="110"/>
      <c r="G13" s="111"/>
      <c r="H13" s="20"/>
      <c r="I13" s="20"/>
    </row>
    <row r="14" spans="1:9" ht="20.25" customHeight="1" thickBot="1" x14ac:dyDescent="0.3">
      <c r="A14" s="393" t="s">
        <v>384</v>
      </c>
      <c r="B14" s="74"/>
      <c r="C14" s="146"/>
      <c r="D14" s="110"/>
      <c r="E14" s="74"/>
      <c r="F14" s="110"/>
      <c r="G14" s="111"/>
      <c r="H14" s="20"/>
      <c r="I14" s="20"/>
    </row>
    <row r="15" spans="1:9" ht="20.25" customHeight="1" thickBot="1" x14ac:dyDescent="0.3">
      <c r="A15" s="392"/>
      <c r="B15" s="74"/>
      <c r="C15" s="146"/>
      <c r="D15" s="110"/>
      <c r="E15" s="74"/>
      <c r="F15" s="110"/>
      <c r="G15" s="111"/>
      <c r="H15" s="20"/>
      <c r="I15" s="20"/>
    </row>
    <row r="16" spans="1:9" ht="20.25" customHeight="1" thickTop="1" thickBot="1" x14ac:dyDescent="0.3">
      <c r="A16" s="391" t="s">
        <v>385</v>
      </c>
      <c r="B16" s="74"/>
      <c r="C16" s="146"/>
      <c r="D16" s="110"/>
      <c r="E16" s="74"/>
      <c r="F16" s="110"/>
      <c r="G16" s="111"/>
      <c r="H16" s="20"/>
      <c r="I16" s="20"/>
    </row>
    <row r="17" spans="1:9" ht="20.25" customHeight="1" thickBot="1" x14ac:dyDescent="0.3">
      <c r="A17" s="392"/>
      <c r="B17" s="74"/>
      <c r="C17" s="146"/>
      <c r="D17" s="110"/>
      <c r="E17" s="74"/>
      <c r="F17" s="110"/>
      <c r="G17" s="111"/>
      <c r="H17" s="20"/>
      <c r="I17" s="20"/>
    </row>
    <row r="18" spans="1:9" ht="20.25" customHeight="1" thickTop="1" thickBot="1" x14ac:dyDescent="0.3">
      <c r="A18" s="391" t="s">
        <v>287</v>
      </c>
      <c r="B18" s="74"/>
      <c r="C18" s="146"/>
      <c r="D18" s="110"/>
      <c r="E18" s="74"/>
      <c r="F18" s="110"/>
      <c r="G18" s="111"/>
      <c r="H18" s="20"/>
      <c r="I18" s="20"/>
    </row>
    <row r="19" spans="1:9" ht="20.25" customHeight="1" thickBot="1" x14ac:dyDescent="0.3">
      <c r="A19" s="392"/>
      <c r="B19" s="80"/>
      <c r="C19" s="147"/>
      <c r="D19" s="131"/>
      <c r="E19" s="80"/>
      <c r="F19" s="131"/>
      <c r="G19" s="116"/>
      <c r="H19" s="20"/>
      <c r="I19" s="20"/>
    </row>
    <row r="20" spans="1:9" ht="15.75" thickTop="1" x14ac:dyDescent="0.25">
      <c r="A20" s="46"/>
      <c r="B20" s="46"/>
      <c r="C20" s="46"/>
      <c r="D20" s="46"/>
      <c r="E20" s="46"/>
      <c r="F20" s="46"/>
      <c r="G20" s="46"/>
      <c r="H20" s="20"/>
      <c r="I20" s="20"/>
    </row>
    <row r="21" spans="1:9" x14ac:dyDescent="0.25">
      <c r="A21" s="337" t="s">
        <v>1481</v>
      </c>
      <c r="B21" s="20"/>
      <c r="C21" s="20"/>
      <c r="D21" s="20"/>
      <c r="E21" s="20"/>
      <c r="F21" s="20"/>
      <c r="G21" s="20"/>
      <c r="H21" s="20"/>
      <c r="I21" s="20"/>
    </row>
  </sheetData>
  <mergeCells count="14">
    <mergeCell ref="B2:D2"/>
    <mergeCell ref="E2:G2"/>
    <mergeCell ref="B4:D4"/>
    <mergeCell ref="A2:A5"/>
    <mergeCell ref="A8:A9"/>
    <mergeCell ref="E4:G4"/>
    <mergeCell ref="B5:D5"/>
    <mergeCell ref="E5:G5"/>
    <mergeCell ref="A6:A7"/>
    <mergeCell ref="A18:A19"/>
    <mergeCell ref="A16:A17"/>
    <mergeCell ref="A14:A15"/>
    <mergeCell ref="A12:A13"/>
    <mergeCell ref="A10:A11"/>
  </mergeCells>
  <pageMargins left="0.7" right="0.7" top="0.75" bottom="0.75" header="0.3" footer="0.3"/>
  <pageSetup paperSize="9" orientation="portrait" horizontalDpi="300" verticalDpi="30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29"/>
  <sheetViews>
    <sheetView showGridLines="0" topLeftCell="A7" zoomScaleNormal="100" workbookViewId="0">
      <selection activeCell="G27" sqref="G27"/>
    </sheetView>
  </sheetViews>
  <sheetFormatPr defaultRowHeight="15" x14ac:dyDescent="0.25"/>
  <cols>
    <col min="1" max="1" width="25.7109375" customWidth="1"/>
    <col min="2" max="2" width="13.42578125" customWidth="1"/>
    <col min="3" max="4" width="23.5703125" customWidth="1"/>
    <col min="5" max="5" width="18.5703125" customWidth="1"/>
    <col min="6" max="6" width="18.42578125" customWidth="1"/>
    <col min="7" max="7" width="21.140625" customWidth="1"/>
  </cols>
  <sheetData>
    <row r="1" spans="1:4" ht="16.5" x14ac:dyDescent="0.3">
      <c r="A1" s="1" t="s">
        <v>386</v>
      </c>
    </row>
    <row r="2" spans="1:4" ht="17.25" thickBot="1" x14ac:dyDescent="0.35">
      <c r="A2" s="5" t="s">
        <v>8</v>
      </c>
    </row>
    <row r="3" spans="1:4" ht="19.5" customHeight="1" thickTop="1" thickBot="1" x14ac:dyDescent="0.3">
      <c r="A3" s="359" t="s">
        <v>387</v>
      </c>
      <c r="B3" s="359" t="s">
        <v>388</v>
      </c>
      <c r="C3" s="361" t="s">
        <v>389</v>
      </c>
      <c r="D3" s="362"/>
    </row>
    <row r="4" spans="1:4" ht="33" customHeight="1" thickTop="1" thickBot="1" x14ac:dyDescent="0.3">
      <c r="A4" s="360"/>
      <c r="B4" s="360"/>
      <c r="C4" s="37" t="s">
        <v>2</v>
      </c>
      <c r="D4" s="37" t="s">
        <v>390</v>
      </c>
    </row>
    <row r="5" spans="1:4" ht="18.75" customHeight="1" thickTop="1" thickBot="1" x14ac:dyDescent="0.3">
      <c r="A5" s="121"/>
      <c r="B5" s="124"/>
      <c r="C5" s="75"/>
      <c r="D5" s="75"/>
    </row>
    <row r="6" spans="1:4" ht="18.75" customHeight="1" thickBot="1" x14ac:dyDescent="0.3">
      <c r="A6" s="121"/>
      <c r="B6" s="124"/>
      <c r="C6" s="75"/>
      <c r="D6" s="75"/>
    </row>
    <row r="7" spans="1:4" ht="18.75" customHeight="1" thickBot="1" x14ac:dyDescent="0.3">
      <c r="A7" s="122"/>
      <c r="B7" s="113"/>
      <c r="C7" s="75"/>
      <c r="D7" s="75"/>
    </row>
    <row r="8" spans="1:4" ht="18.75" customHeight="1" thickBot="1" x14ac:dyDescent="0.3">
      <c r="A8" s="122"/>
      <c r="B8" s="113"/>
      <c r="C8" s="75"/>
      <c r="D8" s="75"/>
    </row>
    <row r="9" spans="1:4" ht="18.75" customHeight="1" thickBot="1" x14ac:dyDescent="0.3">
      <c r="A9" s="122"/>
      <c r="B9" s="113"/>
      <c r="C9" s="75"/>
      <c r="D9" s="75"/>
    </row>
    <row r="10" spans="1:4" ht="18.75" customHeight="1" thickBot="1" x14ac:dyDescent="0.3">
      <c r="A10" s="122"/>
      <c r="B10" s="113"/>
      <c r="C10" s="75"/>
      <c r="D10" s="75"/>
    </row>
    <row r="11" spans="1:4" ht="18.75" customHeight="1" thickBot="1" x14ac:dyDescent="0.3">
      <c r="A11" s="122"/>
      <c r="B11" s="113"/>
      <c r="C11" s="75"/>
      <c r="D11" s="75"/>
    </row>
    <row r="12" spans="1:4" ht="18.75" customHeight="1" thickBot="1" x14ac:dyDescent="0.3">
      <c r="A12" s="122"/>
      <c r="B12" s="113"/>
      <c r="C12" s="75"/>
      <c r="D12" s="75"/>
    </row>
    <row r="13" spans="1:4" ht="18.75" customHeight="1" thickBot="1" x14ac:dyDescent="0.3">
      <c r="A13" s="121"/>
      <c r="B13" s="124"/>
      <c r="C13" s="75"/>
      <c r="D13" s="75"/>
    </row>
    <row r="14" spans="1:4" ht="18.75" customHeight="1" thickBot="1" x14ac:dyDescent="0.3">
      <c r="A14" s="123"/>
      <c r="B14" s="114"/>
      <c r="C14" s="73"/>
      <c r="D14" s="73"/>
    </row>
    <row r="15" spans="1:4" ht="15.75" thickTop="1" x14ac:dyDescent="0.25">
      <c r="A15" s="20"/>
      <c r="B15" s="20"/>
      <c r="C15" s="20"/>
      <c r="D15" s="20"/>
    </row>
    <row r="16" spans="1:4" ht="15.75" thickBot="1" x14ac:dyDescent="0.3">
      <c r="A16" s="20" t="s">
        <v>391</v>
      </c>
      <c r="B16" s="20"/>
      <c r="C16" s="20"/>
      <c r="D16" s="20"/>
    </row>
    <row r="17" spans="1:4" ht="19.5" customHeight="1" thickTop="1" thickBot="1" x14ac:dyDescent="0.3">
      <c r="A17" s="359" t="s">
        <v>488</v>
      </c>
      <c r="B17" s="359" t="s">
        <v>388</v>
      </c>
      <c r="C17" s="361" t="s">
        <v>389</v>
      </c>
      <c r="D17" s="362"/>
    </row>
    <row r="18" spans="1:4" ht="33" customHeight="1" thickTop="1" thickBot="1" x14ac:dyDescent="0.3">
      <c r="A18" s="360"/>
      <c r="B18" s="360"/>
      <c r="C18" s="37" t="s">
        <v>2</v>
      </c>
      <c r="D18" s="37" t="s">
        <v>390</v>
      </c>
    </row>
    <row r="19" spans="1:4" ht="18.75" customHeight="1" thickTop="1" thickBot="1" x14ac:dyDescent="0.3">
      <c r="A19" s="99"/>
      <c r="B19" s="113"/>
      <c r="C19" s="75"/>
      <c r="D19" s="75"/>
    </row>
    <row r="20" spans="1:4" ht="18.75" customHeight="1" thickBot="1" x14ac:dyDescent="0.3">
      <c r="A20" s="99"/>
      <c r="B20" s="113"/>
      <c r="C20" s="75"/>
      <c r="D20" s="75"/>
    </row>
    <row r="21" spans="1:4" ht="18.75" customHeight="1" thickBot="1" x14ac:dyDescent="0.3">
      <c r="A21" s="99"/>
      <c r="B21" s="113"/>
      <c r="C21" s="75"/>
      <c r="D21" s="75"/>
    </row>
    <row r="22" spans="1:4" ht="18.75" customHeight="1" thickBot="1" x14ac:dyDescent="0.3">
      <c r="A22" s="99"/>
      <c r="B22" s="113"/>
      <c r="C22" s="75"/>
      <c r="D22" s="75"/>
    </row>
    <row r="23" spans="1:4" ht="18.75" customHeight="1" thickBot="1" x14ac:dyDescent="0.3">
      <c r="A23" s="99"/>
      <c r="B23" s="113"/>
      <c r="C23" s="75"/>
      <c r="D23" s="75"/>
    </row>
    <row r="24" spans="1:4" ht="18.75" customHeight="1" thickBot="1" x14ac:dyDescent="0.3">
      <c r="A24" s="99"/>
      <c r="B24" s="113"/>
      <c r="C24" s="75"/>
      <c r="D24" s="75"/>
    </row>
    <row r="25" spans="1:4" ht="18.75" customHeight="1" thickBot="1" x14ac:dyDescent="0.3">
      <c r="A25" s="99"/>
      <c r="B25" s="113"/>
      <c r="C25" s="75"/>
      <c r="D25" s="75"/>
    </row>
    <row r="26" spans="1:4" ht="18.75" customHeight="1" thickBot="1" x14ac:dyDescent="0.3">
      <c r="A26" s="99"/>
      <c r="B26" s="113"/>
      <c r="C26" s="75"/>
      <c r="D26" s="75"/>
    </row>
    <row r="27" spans="1:4" ht="18.75" customHeight="1" thickBot="1" x14ac:dyDescent="0.3">
      <c r="A27" s="100"/>
      <c r="B27" s="114"/>
      <c r="C27" s="73"/>
      <c r="D27" s="73"/>
    </row>
    <row r="28" spans="1:4" ht="17.25" thickTop="1" x14ac:dyDescent="0.3">
      <c r="A28" s="2"/>
    </row>
    <row r="29" spans="1:4" ht="16.5" x14ac:dyDescent="0.3">
      <c r="A29" s="336" t="s">
        <v>1481</v>
      </c>
    </row>
  </sheetData>
  <mergeCells count="6">
    <mergeCell ref="A3:A4"/>
    <mergeCell ref="B3:B4"/>
    <mergeCell ref="C3:D3"/>
    <mergeCell ref="A17:A18"/>
    <mergeCell ref="B17:B18"/>
    <mergeCell ref="C17:D17"/>
  </mergeCells>
  <pageMargins left="0.7" right="0.7" top="0.75" bottom="0.75" header="0.3" footer="0.3"/>
  <pageSetup paperSize="9" orientation="portrait" horizontalDpi="300" verticalDpi="30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4" workbookViewId="0">
      <selection activeCell="E11" sqref="E11"/>
    </sheetView>
  </sheetViews>
  <sheetFormatPr defaultRowHeight="15" x14ac:dyDescent="0.25"/>
  <cols>
    <col min="1" max="1" width="32" customWidth="1"/>
  </cols>
  <sheetData>
    <row r="1" spans="1:2" x14ac:dyDescent="0.25">
      <c r="A1" t="s">
        <v>496</v>
      </c>
      <c r="B1" t="s">
        <v>502</v>
      </c>
    </row>
    <row r="2" spans="1:2" x14ac:dyDescent="0.25">
      <c r="A2" t="s">
        <v>497</v>
      </c>
      <c r="B2" t="s">
        <v>500</v>
      </c>
    </row>
    <row r="3" spans="1:2" x14ac:dyDescent="0.25">
      <c r="A3" t="s">
        <v>498</v>
      </c>
      <c r="B3" t="s">
        <v>501</v>
      </c>
    </row>
    <row r="4" spans="1:2" x14ac:dyDescent="0.25">
      <c r="A4" t="s">
        <v>499</v>
      </c>
      <c r="B4" t="s">
        <v>501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81"/>
  <sheetViews>
    <sheetView workbookViewId="0">
      <selection activeCell="B2" sqref="B2"/>
    </sheetView>
  </sheetViews>
  <sheetFormatPr defaultRowHeight="15" x14ac:dyDescent="0.25"/>
  <cols>
    <col min="1" max="1" width="16.140625" style="194" customWidth="1"/>
    <col min="2" max="2" width="46.7109375" style="195" customWidth="1"/>
    <col min="3" max="3" width="15.28515625" style="196" customWidth="1"/>
    <col min="4" max="4" width="15.28515625" style="196" bestFit="1" customWidth="1"/>
    <col min="5" max="5" width="15.140625" style="196" customWidth="1"/>
    <col min="6" max="7" width="15.28515625" style="196" bestFit="1" customWidth="1"/>
    <col min="8" max="8" width="15.28515625" style="196" customWidth="1"/>
    <col min="9" max="11" width="15.28515625" style="196" bestFit="1" customWidth="1"/>
    <col min="12" max="12" width="14.85546875" style="196" customWidth="1"/>
    <col min="13" max="16384" width="9.140625" style="190"/>
  </cols>
  <sheetData>
    <row r="1" spans="1:12" ht="22.5" x14ac:dyDescent="0.25">
      <c r="A1" s="200" t="s">
        <v>512</v>
      </c>
      <c r="B1" s="201" t="s">
        <v>513</v>
      </c>
      <c r="C1" s="202" t="s">
        <v>516</v>
      </c>
      <c r="D1" s="202" t="s">
        <v>517</v>
      </c>
      <c r="E1" s="202" t="s">
        <v>518</v>
      </c>
      <c r="F1" s="202" t="s">
        <v>519</v>
      </c>
      <c r="G1" s="202" t="s">
        <v>520</v>
      </c>
      <c r="H1" s="202" t="s">
        <v>521</v>
      </c>
      <c r="I1" s="202" t="s">
        <v>522</v>
      </c>
      <c r="J1" s="202" t="s">
        <v>523</v>
      </c>
      <c r="K1" s="202" t="s">
        <v>524</v>
      </c>
      <c r="L1" s="202" t="s">
        <v>525</v>
      </c>
    </row>
    <row r="2" spans="1:12" x14ac:dyDescent="0.25">
      <c r="A2" s="191" t="s">
        <v>538</v>
      </c>
      <c r="B2" s="192" t="s">
        <v>539</v>
      </c>
      <c r="C2" s="193">
        <v>14846.87</v>
      </c>
      <c r="D2" s="193">
        <v>0</v>
      </c>
      <c r="E2" s="193">
        <v>14846.87</v>
      </c>
      <c r="F2" s="193">
        <v>0</v>
      </c>
      <c r="G2" s="193">
        <v>0</v>
      </c>
      <c r="H2" s="193">
        <v>0</v>
      </c>
      <c r="I2" s="193">
        <v>0</v>
      </c>
      <c r="J2" s="193">
        <v>0</v>
      </c>
      <c r="K2" s="193">
        <v>14846.87</v>
      </c>
      <c r="L2" s="193">
        <v>0</v>
      </c>
    </row>
    <row r="3" spans="1:12" x14ac:dyDescent="0.25">
      <c r="A3" s="191" t="s">
        <v>540</v>
      </c>
      <c r="B3" s="192" t="s">
        <v>42</v>
      </c>
      <c r="C3" s="193">
        <v>1707272.37</v>
      </c>
      <c r="D3" s="193">
        <v>0</v>
      </c>
      <c r="E3" s="193">
        <v>1707272.37</v>
      </c>
      <c r="F3" s="193">
        <v>0</v>
      </c>
      <c r="G3" s="193">
        <v>0</v>
      </c>
      <c r="H3" s="193">
        <v>0</v>
      </c>
      <c r="I3" s="193">
        <v>0</v>
      </c>
      <c r="J3" s="193">
        <v>0</v>
      </c>
      <c r="K3" s="193">
        <v>1707272.37</v>
      </c>
      <c r="L3" s="193">
        <v>0</v>
      </c>
    </row>
    <row r="4" spans="1:12" x14ac:dyDescent="0.25">
      <c r="A4" s="191" t="s">
        <v>541</v>
      </c>
      <c r="B4" s="192" t="s">
        <v>542</v>
      </c>
      <c r="C4" s="193">
        <v>805377.51</v>
      </c>
      <c r="D4" s="193">
        <v>0</v>
      </c>
      <c r="E4" s="193">
        <v>808871.08</v>
      </c>
      <c r="F4" s="193">
        <v>0</v>
      </c>
      <c r="G4" s="193">
        <v>0</v>
      </c>
      <c r="H4" s="193">
        <v>0</v>
      </c>
      <c r="I4" s="193">
        <v>30607.99</v>
      </c>
      <c r="J4" s="193">
        <v>27114.42</v>
      </c>
      <c r="K4" s="193">
        <v>808871.08</v>
      </c>
      <c r="L4" s="193">
        <v>0</v>
      </c>
    </row>
    <row r="5" spans="1:12" x14ac:dyDescent="0.25">
      <c r="A5" s="191" t="s">
        <v>543</v>
      </c>
      <c r="B5" s="192" t="s">
        <v>41</v>
      </c>
      <c r="C5" s="193">
        <v>103220.21</v>
      </c>
      <c r="D5" s="193">
        <v>0</v>
      </c>
      <c r="E5" s="193">
        <v>103220.21</v>
      </c>
      <c r="F5" s="193">
        <v>0</v>
      </c>
      <c r="G5" s="193">
        <v>0</v>
      </c>
      <c r="H5" s="193">
        <v>0</v>
      </c>
      <c r="I5" s="193">
        <v>0</v>
      </c>
      <c r="J5" s="193">
        <v>0</v>
      </c>
      <c r="K5" s="193">
        <v>103220.21</v>
      </c>
      <c r="L5" s="193">
        <v>0</v>
      </c>
    </row>
    <row r="6" spans="1:12" x14ac:dyDescent="0.25">
      <c r="A6" s="191" t="s">
        <v>544</v>
      </c>
      <c r="B6" s="192" t="s">
        <v>545</v>
      </c>
      <c r="C6" s="193">
        <v>6795.43</v>
      </c>
      <c r="D6" s="193">
        <v>0</v>
      </c>
      <c r="E6" s="193">
        <v>5188.21</v>
      </c>
      <c r="F6" s="193">
        <v>0</v>
      </c>
      <c r="G6" s="193">
        <v>0</v>
      </c>
      <c r="H6" s="193">
        <v>0</v>
      </c>
      <c r="I6" s="193">
        <v>30607.99</v>
      </c>
      <c r="J6" s="193">
        <v>32215.21</v>
      </c>
      <c r="K6" s="193">
        <v>5188.21</v>
      </c>
      <c r="L6" s="193">
        <v>0</v>
      </c>
    </row>
    <row r="7" spans="1:12" x14ac:dyDescent="0.25">
      <c r="A7" s="191" t="s">
        <v>546</v>
      </c>
      <c r="B7" s="192" t="s">
        <v>547</v>
      </c>
      <c r="C7" s="193">
        <v>40122.15</v>
      </c>
      <c r="D7" s="193">
        <v>0</v>
      </c>
      <c r="E7" s="193">
        <v>40122.15</v>
      </c>
      <c r="F7" s="193">
        <v>0</v>
      </c>
      <c r="G7" s="193">
        <v>0</v>
      </c>
      <c r="H7" s="193">
        <v>0</v>
      </c>
      <c r="I7" s="193">
        <v>0</v>
      </c>
      <c r="J7" s="193">
        <v>0</v>
      </c>
      <c r="K7" s="193">
        <v>40122.15</v>
      </c>
      <c r="L7" s="193">
        <v>0</v>
      </c>
    </row>
    <row r="8" spans="1:12" x14ac:dyDescent="0.25">
      <c r="A8" s="191" t="s">
        <v>548</v>
      </c>
      <c r="B8" s="192" t="s">
        <v>549</v>
      </c>
      <c r="C8" s="193">
        <v>0</v>
      </c>
      <c r="D8" s="193">
        <v>14846.87</v>
      </c>
      <c r="E8" s="193">
        <v>0</v>
      </c>
      <c r="F8" s="193">
        <v>14846.87</v>
      </c>
      <c r="G8" s="193">
        <v>0</v>
      </c>
      <c r="H8" s="193">
        <v>0</v>
      </c>
      <c r="I8" s="193">
        <v>0</v>
      </c>
      <c r="J8" s="193">
        <v>0</v>
      </c>
      <c r="K8" s="193">
        <v>0</v>
      </c>
      <c r="L8" s="193">
        <v>14846.87</v>
      </c>
    </row>
    <row r="9" spans="1:12" x14ac:dyDescent="0.25">
      <c r="A9" s="191" t="s">
        <v>550</v>
      </c>
      <c r="B9" s="192" t="s">
        <v>551</v>
      </c>
      <c r="C9" s="193">
        <v>0</v>
      </c>
      <c r="D9" s="193">
        <v>672838.59</v>
      </c>
      <c r="E9" s="193">
        <v>0</v>
      </c>
      <c r="F9" s="193">
        <v>769451.59</v>
      </c>
      <c r="G9" s="193">
        <v>0</v>
      </c>
      <c r="H9" s="193">
        <v>8720</v>
      </c>
      <c r="I9" s="193">
        <v>0</v>
      </c>
      <c r="J9" s="193">
        <v>105333</v>
      </c>
      <c r="K9" s="193">
        <v>0</v>
      </c>
      <c r="L9" s="193">
        <v>778171.59</v>
      </c>
    </row>
    <row r="10" spans="1:12" x14ac:dyDescent="0.25">
      <c r="A10" s="191" t="s">
        <v>552</v>
      </c>
      <c r="B10" s="192" t="s">
        <v>553</v>
      </c>
      <c r="C10" s="193">
        <v>0</v>
      </c>
      <c r="D10" s="193">
        <v>649113.62</v>
      </c>
      <c r="E10" s="193">
        <v>0</v>
      </c>
      <c r="F10" s="193">
        <v>679830.2</v>
      </c>
      <c r="G10" s="193">
        <v>0</v>
      </c>
      <c r="H10" s="193">
        <v>5576.33</v>
      </c>
      <c r="I10" s="193">
        <v>27114.42</v>
      </c>
      <c r="J10" s="193">
        <v>63407.33</v>
      </c>
      <c r="K10" s="193">
        <v>0</v>
      </c>
      <c r="L10" s="193">
        <v>685406.53</v>
      </c>
    </row>
    <row r="11" spans="1:12" x14ac:dyDescent="0.25">
      <c r="A11" s="191" t="s">
        <v>554</v>
      </c>
      <c r="B11" s="192" t="s">
        <v>555</v>
      </c>
      <c r="C11" s="193">
        <v>0</v>
      </c>
      <c r="D11" s="193">
        <v>0</v>
      </c>
      <c r="E11" s="193">
        <v>0.01</v>
      </c>
      <c r="F11" s="193">
        <v>0</v>
      </c>
      <c r="G11" s="193">
        <v>68.55</v>
      </c>
      <c r="H11" s="193">
        <v>68.56</v>
      </c>
      <c r="I11" s="193">
        <v>7977.75</v>
      </c>
      <c r="J11" s="193">
        <v>7977.75</v>
      </c>
      <c r="K11" s="193">
        <v>0</v>
      </c>
      <c r="L11" s="193">
        <v>0</v>
      </c>
    </row>
    <row r="12" spans="1:12" x14ac:dyDescent="0.25">
      <c r="A12" s="191" t="s">
        <v>556</v>
      </c>
      <c r="B12" s="192" t="s">
        <v>557</v>
      </c>
      <c r="C12" s="193">
        <v>16697.21</v>
      </c>
      <c r="D12" s="193">
        <v>0</v>
      </c>
      <c r="E12" s="193">
        <v>20729.39</v>
      </c>
      <c r="F12" s="193">
        <v>0</v>
      </c>
      <c r="G12" s="193">
        <v>68.56</v>
      </c>
      <c r="H12" s="193">
        <v>12888.7</v>
      </c>
      <c r="I12" s="193">
        <v>8921.7900000000009</v>
      </c>
      <c r="J12" s="193">
        <v>17709.75</v>
      </c>
      <c r="K12" s="193">
        <v>7909.25</v>
      </c>
      <c r="L12" s="193">
        <v>0</v>
      </c>
    </row>
    <row r="13" spans="1:12" x14ac:dyDescent="0.25">
      <c r="A13" s="191" t="s">
        <v>558</v>
      </c>
      <c r="B13" s="192" t="s">
        <v>559</v>
      </c>
      <c r="C13" s="193">
        <v>0</v>
      </c>
      <c r="D13" s="193">
        <v>0</v>
      </c>
      <c r="E13" s="193">
        <v>-25895.759999999998</v>
      </c>
      <c r="F13" s="193">
        <v>0</v>
      </c>
      <c r="G13" s="193">
        <v>201333.94</v>
      </c>
      <c r="H13" s="193">
        <v>175438.18</v>
      </c>
      <c r="I13" s="193">
        <v>4395015.5199999996</v>
      </c>
      <c r="J13" s="193">
        <v>4395015.5199999996</v>
      </c>
      <c r="K13" s="193">
        <v>0</v>
      </c>
      <c r="L13" s="193">
        <v>0</v>
      </c>
    </row>
    <row r="14" spans="1:12" x14ac:dyDescent="0.25">
      <c r="A14" s="191" t="s">
        <v>560</v>
      </c>
      <c r="B14" s="192" t="s">
        <v>561</v>
      </c>
      <c r="C14" s="193">
        <v>0</v>
      </c>
      <c r="D14" s="193">
        <v>0</v>
      </c>
      <c r="E14" s="193">
        <v>42695.51</v>
      </c>
      <c r="F14" s="193">
        <v>0</v>
      </c>
      <c r="G14" s="193">
        <v>-42695.51</v>
      </c>
      <c r="H14" s="193">
        <v>0</v>
      </c>
      <c r="I14" s="193">
        <v>0</v>
      </c>
      <c r="J14" s="193">
        <v>0</v>
      </c>
      <c r="K14" s="193">
        <v>0</v>
      </c>
      <c r="L14" s="193">
        <v>0</v>
      </c>
    </row>
    <row r="15" spans="1:12" x14ac:dyDescent="0.25">
      <c r="A15" s="191" t="s">
        <v>562</v>
      </c>
      <c r="B15" s="192" t="s">
        <v>563</v>
      </c>
      <c r="C15" s="193">
        <v>987204.74</v>
      </c>
      <c r="D15" s="193">
        <v>0</v>
      </c>
      <c r="E15" s="193">
        <v>1127805.69</v>
      </c>
      <c r="F15" s="193">
        <v>0</v>
      </c>
      <c r="G15" s="193">
        <v>142138.53</v>
      </c>
      <c r="H15" s="193">
        <v>220016.94</v>
      </c>
      <c r="I15" s="193">
        <v>4057597.65</v>
      </c>
      <c r="J15" s="193">
        <v>3994875.11</v>
      </c>
      <c r="K15" s="193">
        <v>1049927.28</v>
      </c>
      <c r="L15" s="193">
        <v>0</v>
      </c>
    </row>
    <row r="16" spans="1:12" x14ac:dyDescent="0.25">
      <c r="A16" s="191" t="s">
        <v>564</v>
      </c>
      <c r="B16" s="192" t="s">
        <v>565</v>
      </c>
      <c r="C16" s="193">
        <v>65218.92</v>
      </c>
      <c r="D16" s="193">
        <v>0</v>
      </c>
      <c r="E16" s="193">
        <v>72377.62</v>
      </c>
      <c r="F16" s="193">
        <v>0</v>
      </c>
      <c r="G16" s="193">
        <v>1694.41</v>
      </c>
      <c r="H16" s="193">
        <v>15492.79</v>
      </c>
      <c r="I16" s="193">
        <v>461625.46</v>
      </c>
      <c r="J16" s="193">
        <v>468265.14</v>
      </c>
      <c r="K16" s="193">
        <v>58579.24</v>
      </c>
      <c r="L16" s="193">
        <v>0</v>
      </c>
    </row>
    <row r="17" spans="1:12" x14ac:dyDescent="0.25">
      <c r="A17" s="191" t="s">
        <v>566</v>
      </c>
      <c r="B17" s="192" t="s">
        <v>567</v>
      </c>
      <c r="C17" s="193">
        <v>68308.45</v>
      </c>
      <c r="D17" s="193">
        <v>0</v>
      </c>
      <c r="E17" s="193">
        <v>80973.070000000007</v>
      </c>
      <c r="F17" s="193">
        <v>0</v>
      </c>
      <c r="G17" s="193">
        <v>25468.81</v>
      </c>
      <c r="H17" s="193">
        <v>21740.3</v>
      </c>
      <c r="I17" s="193">
        <v>324733.28000000003</v>
      </c>
      <c r="J17" s="193">
        <v>308340.15000000002</v>
      </c>
      <c r="K17" s="193">
        <v>84701.58</v>
      </c>
      <c r="L17" s="193">
        <v>0</v>
      </c>
    </row>
    <row r="18" spans="1:12" x14ac:dyDescent="0.25">
      <c r="A18" s="191" t="s">
        <v>568</v>
      </c>
      <c r="B18" s="192" t="s">
        <v>569</v>
      </c>
      <c r="C18" s="193">
        <v>26351.17</v>
      </c>
      <c r="D18" s="193">
        <v>0</v>
      </c>
      <c r="E18" s="193">
        <v>28870.07</v>
      </c>
      <c r="F18" s="193">
        <v>0</v>
      </c>
      <c r="G18" s="193">
        <v>257260.25</v>
      </c>
      <c r="H18" s="193">
        <v>277286.59999999998</v>
      </c>
      <c r="I18" s="193">
        <v>4824171.4800000004</v>
      </c>
      <c r="J18" s="193">
        <v>4841678.93</v>
      </c>
      <c r="K18" s="193">
        <v>8843.7199999999993</v>
      </c>
      <c r="L18" s="193">
        <v>0</v>
      </c>
    </row>
    <row r="19" spans="1:12" x14ac:dyDescent="0.25">
      <c r="A19" s="191" t="s">
        <v>570</v>
      </c>
      <c r="B19" s="192" t="s">
        <v>571</v>
      </c>
      <c r="C19" s="193">
        <v>0</v>
      </c>
      <c r="D19" s="193">
        <v>0</v>
      </c>
      <c r="E19" s="193">
        <v>-630.80999999999995</v>
      </c>
      <c r="F19" s="193">
        <v>0</v>
      </c>
      <c r="G19" s="193">
        <v>1600</v>
      </c>
      <c r="H19" s="193">
        <v>969.19</v>
      </c>
      <c r="I19" s="193">
        <v>13727.5</v>
      </c>
      <c r="J19" s="193">
        <v>13727.5</v>
      </c>
      <c r="K19" s="193">
        <v>0</v>
      </c>
      <c r="L19" s="193">
        <v>0</v>
      </c>
    </row>
    <row r="20" spans="1:12" x14ac:dyDescent="0.25">
      <c r="A20" s="191" t="s">
        <v>572</v>
      </c>
      <c r="B20" s="192" t="s">
        <v>573</v>
      </c>
      <c r="C20" s="193">
        <v>291</v>
      </c>
      <c r="D20" s="193">
        <v>0</v>
      </c>
      <c r="E20" s="193">
        <v>1020</v>
      </c>
      <c r="F20" s="193">
        <v>0</v>
      </c>
      <c r="G20" s="193">
        <v>-414</v>
      </c>
      <c r="H20" s="193">
        <v>306</v>
      </c>
      <c r="I20" s="193">
        <v>5586</v>
      </c>
      <c r="J20" s="193">
        <v>5577</v>
      </c>
      <c r="K20" s="193">
        <v>300</v>
      </c>
      <c r="L20" s="193">
        <v>0</v>
      </c>
    </row>
    <row r="21" spans="1:12" x14ac:dyDescent="0.25">
      <c r="A21" s="191" t="s">
        <v>574</v>
      </c>
      <c r="B21" s="192" t="s">
        <v>575</v>
      </c>
      <c r="C21" s="193">
        <v>0</v>
      </c>
      <c r="D21" s="193">
        <v>0</v>
      </c>
      <c r="E21" s="193">
        <v>-44929.17</v>
      </c>
      <c r="F21" s="193">
        <v>0</v>
      </c>
      <c r="G21" s="193">
        <v>309344.17</v>
      </c>
      <c r="H21" s="193">
        <v>264415</v>
      </c>
      <c r="I21" s="193">
        <v>3284673.69</v>
      </c>
      <c r="J21" s="193">
        <v>3284673.69</v>
      </c>
      <c r="K21" s="193">
        <v>0</v>
      </c>
      <c r="L21" s="193">
        <v>0</v>
      </c>
    </row>
    <row r="22" spans="1:12" x14ac:dyDescent="0.25">
      <c r="A22" s="191" t="s">
        <v>576</v>
      </c>
      <c r="B22" s="192" t="s">
        <v>577</v>
      </c>
      <c r="C22" s="193">
        <v>0</v>
      </c>
      <c r="D22" s="193">
        <v>0</v>
      </c>
      <c r="E22" s="193">
        <v>-386828.41</v>
      </c>
      <c r="F22" s="193">
        <v>0</v>
      </c>
      <c r="G22" s="193">
        <v>592493.25</v>
      </c>
      <c r="H22" s="193">
        <v>205664.84</v>
      </c>
      <c r="I22" s="193">
        <v>3927358.49</v>
      </c>
      <c r="J22" s="193">
        <v>3927358.49</v>
      </c>
      <c r="K22" s="193">
        <v>0</v>
      </c>
      <c r="L22" s="193">
        <v>0</v>
      </c>
    </row>
    <row r="23" spans="1:12" x14ac:dyDescent="0.25">
      <c r="A23" s="191" t="s">
        <v>578</v>
      </c>
      <c r="B23" s="192" t="s">
        <v>251</v>
      </c>
      <c r="C23" s="193">
        <v>0</v>
      </c>
      <c r="D23" s="193">
        <v>448254.79</v>
      </c>
      <c r="E23" s="193">
        <v>0</v>
      </c>
      <c r="F23" s="193">
        <v>0</v>
      </c>
      <c r="G23" s="193">
        <v>0</v>
      </c>
      <c r="H23" s="193">
        <v>416602.38</v>
      </c>
      <c r="I23" s="193">
        <v>448254.79</v>
      </c>
      <c r="J23" s="193">
        <v>416602.38</v>
      </c>
      <c r="K23" s="193">
        <v>0</v>
      </c>
      <c r="L23" s="193">
        <v>416602.38</v>
      </c>
    </row>
    <row r="24" spans="1:12" x14ac:dyDescent="0.25">
      <c r="A24" s="191" t="s">
        <v>579</v>
      </c>
      <c r="B24" s="192" t="s">
        <v>580</v>
      </c>
      <c r="C24" s="193">
        <v>0</v>
      </c>
      <c r="D24" s="193">
        <v>43555.14</v>
      </c>
      <c r="E24" s="193">
        <v>0</v>
      </c>
      <c r="F24" s="193">
        <v>43555.14</v>
      </c>
      <c r="G24" s="193">
        <v>0</v>
      </c>
      <c r="H24" s="193">
        <v>0</v>
      </c>
      <c r="I24" s="193">
        <v>16500</v>
      </c>
      <c r="J24" s="193">
        <v>16500</v>
      </c>
      <c r="K24" s="193">
        <v>0</v>
      </c>
      <c r="L24" s="193">
        <v>43555.14</v>
      </c>
    </row>
    <row r="25" spans="1:12" x14ac:dyDescent="0.25">
      <c r="A25" s="191" t="s">
        <v>581</v>
      </c>
      <c r="B25" s="192" t="s">
        <v>582</v>
      </c>
      <c r="C25" s="193">
        <v>0</v>
      </c>
      <c r="D25" s="193">
        <v>0</v>
      </c>
      <c r="E25" s="193">
        <v>0</v>
      </c>
      <c r="F25" s="193">
        <v>0</v>
      </c>
      <c r="G25" s="193">
        <v>206140</v>
      </c>
      <c r="H25" s="193">
        <v>206140</v>
      </c>
      <c r="I25" s="193">
        <v>3748838.29</v>
      </c>
      <c r="J25" s="193">
        <v>3748838.29</v>
      </c>
      <c r="K25" s="193">
        <v>0</v>
      </c>
      <c r="L25" s="193">
        <v>0</v>
      </c>
    </row>
    <row r="26" spans="1:12" x14ac:dyDescent="0.25">
      <c r="A26" s="191" t="s">
        <v>583</v>
      </c>
      <c r="B26" s="192" t="s">
        <v>584</v>
      </c>
      <c r="C26" s="193">
        <v>0</v>
      </c>
      <c r="D26" s="193">
        <v>0</v>
      </c>
      <c r="E26" s="193">
        <v>0</v>
      </c>
      <c r="F26" s="193">
        <v>0</v>
      </c>
      <c r="G26" s="193">
        <v>167276.70000000001</v>
      </c>
      <c r="H26" s="193">
        <v>167276.70000000001</v>
      </c>
      <c r="I26" s="193">
        <v>1995848.08</v>
      </c>
      <c r="J26" s="193">
        <v>1995848.08</v>
      </c>
      <c r="K26" s="193">
        <v>0</v>
      </c>
      <c r="L26" s="193">
        <v>0</v>
      </c>
    </row>
    <row r="27" spans="1:12" x14ac:dyDescent="0.25">
      <c r="A27" s="191" t="s">
        <v>585</v>
      </c>
      <c r="B27" s="192" t="s">
        <v>586</v>
      </c>
      <c r="C27" s="193">
        <v>0</v>
      </c>
      <c r="D27" s="193">
        <v>0</v>
      </c>
      <c r="E27" s="193">
        <v>0</v>
      </c>
      <c r="F27" s="193">
        <v>0</v>
      </c>
      <c r="G27" s="193">
        <v>0</v>
      </c>
      <c r="H27" s="193">
        <v>0</v>
      </c>
      <c r="I27" s="193">
        <v>1307750.77</v>
      </c>
      <c r="J27" s="193">
        <v>1307750.77</v>
      </c>
      <c r="K27" s="193">
        <v>0</v>
      </c>
      <c r="L27" s="193">
        <v>0</v>
      </c>
    </row>
    <row r="28" spans="1:12" x14ac:dyDescent="0.25">
      <c r="A28" s="191" t="s">
        <v>587</v>
      </c>
      <c r="B28" s="192" t="s">
        <v>588</v>
      </c>
      <c r="C28" s="193">
        <v>0</v>
      </c>
      <c r="D28" s="193">
        <v>0</v>
      </c>
      <c r="E28" s="193">
        <v>0</v>
      </c>
      <c r="F28" s="193">
        <v>0</v>
      </c>
      <c r="G28" s="193">
        <v>1826.77</v>
      </c>
      <c r="H28" s="193">
        <v>1826.77</v>
      </c>
      <c r="I28" s="193">
        <v>126476.47</v>
      </c>
      <c r="J28" s="193">
        <v>126476.47</v>
      </c>
      <c r="K28" s="193">
        <v>0</v>
      </c>
      <c r="L28" s="193">
        <v>0</v>
      </c>
    </row>
    <row r="29" spans="1:12" x14ac:dyDescent="0.25">
      <c r="A29" s="191" t="s">
        <v>589</v>
      </c>
      <c r="B29" s="192" t="s">
        <v>590</v>
      </c>
      <c r="C29" s="193">
        <v>0</v>
      </c>
      <c r="D29" s="193">
        <v>0</v>
      </c>
      <c r="E29" s="193">
        <v>0</v>
      </c>
      <c r="F29" s="193">
        <v>0</v>
      </c>
      <c r="G29" s="193">
        <v>15226.24</v>
      </c>
      <c r="H29" s="193">
        <v>15226.24</v>
      </c>
      <c r="I29" s="193">
        <v>425253.36</v>
      </c>
      <c r="J29" s="193">
        <v>425253.36</v>
      </c>
      <c r="K29" s="193">
        <v>0</v>
      </c>
      <c r="L29" s="193">
        <v>0</v>
      </c>
    </row>
    <row r="30" spans="1:12" x14ac:dyDescent="0.25">
      <c r="A30" s="191" t="s">
        <v>591</v>
      </c>
      <c r="B30" s="192" t="s">
        <v>592</v>
      </c>
      <c r="C30" s="193">
        <v>306409.46000000002</v>
      </c>
      <c r="D30" s="193">
        <v>0</v>
      </c>
      <c r="E30" s="193">
        <v>379413.29</v>
      </c>
      <c r="F30" s="193">
        <v>0</v>
      </c>
      <c r="G30" s="193">
        <v>170156.58</v>
      </c>
      <c r="H30" s="193">
        <v>261704.17</v>
      </c>
      <c r="I30" s="193">
        <v>2912987.64</v>
      </c>
      <c r="J30" s="193">
        <v>2931531.4</v>
      </c>
      <c r="K30" s="193">
        <v>287865.7</v>
      </c>
      <c r="L30" s="193">
        <v>0</v>
      </c>
    </row>
    <row r="31" spans="1:12" x14ac:dyDescent="0.25">
      <c r="A31" s="191" t="s">
        <v>593</v>
      </c>
      <c r="B31" s="192" t="s">
        <v>594</v>
      </c>
      <c r="C31" s="193">
        <v>0</v>
      </c>
      <c r="D31" s="193">
        <v>0</v>
      </c>
      <c r="E31" s="193">
        <v>4138.16</v>
      </c>
      <c r="F31" s="193">
        <v>0</v>
      </c>
      <c r="G31" s="193">
        <v>-4138.16</v>
      </c>
      <c r="H31" s="193">
        <v>0</v>
      </c>
      <c r="I31" s="193">
        <v>330</v>
      </c>
      <c r="J31" s="193">
        <v>330</v>
      </c>
      <c r="K31" s="193">
        <v>0</v>
      </c>
      <c r="L31" s="193">
        <v>0</v>
      </c>
    </row>
    <row r="32" spans="1:12" x14ac:dyDescent="0.25">
      <c r="A32" s="191" t="s">
        <v>595</v>
      </c>
      <c r="B32" s="192" t="s">
        <v>596</v>
      </c>
      <c r="C32" s="193">
        <v>2406.1999999999998</v>
      </c>
      <c r="D32" s="193">
        <v>0</v>
      </c>
      <c r="E32" s="193">
        <v>27838.49</v>
      </c>
      <c r="F32" s="193">
        <v>0</v>
      </c>
      <c r="G32" s="193">
        <v>1922.25</v>
      </c>
      <c r="H32" s="193">
        <v>28097.15</v>
      </c>
      <c r="I32" s="193">
        <v>47380.9</v>
      </c>
      <c r="J32" s="193">
        <v>48123.51</v>
      </c>
      <c r="K32" s="193">
        <v>1663.59</v>
      </c>
      <c r="L32" s="193">
        <v>0</v>
      </c>
    </row>
    <row r="33" spans="1:12" x14ac:dyDescent="0.25">
      <c r="A33" s="191" t="s">
        <v>597</v>
      </c>
      <c r="B33" s="192" t="s">
        <v>598</v>
      </c>
      <c r="C33" s="193">
        <v>1174.53</v>
      </c>
      <c r="D33" s="193">
        <v>0</v>
      </c>
      <c r="E33" s="193">
        <v>21685.19</v>
      </c>
      <c r="F33" s="193">
        <v>0</v>
      </c>
      <c r="G33" s="193">
        <v>-21065.59</v>
      </c>
      <c r="H33" s="193">
        <v>0</v>
      </c>
      <c r="I33" s="193">
        <v>-554.92999999999995</v>
      </c>
      <c r="J33" s="193">
        <v>0</v>
      </c>
      <c r="K33" s="193">
        <v>619.6</v>
      </c>
      <c r="L33" s="193">
        <v>0</v>
      </c>
    </row>
    <row r="34" spans="1:12" x14ac:dyDescent="0.25">
      <c r="A34" s="191" t="s">
        <v>599</v>
      </c>
      <c r="B34" s="192" t="s">
        <v>600</v>
      </c>
      <c r="C34" s="193">
        <v>0</v>
      </c>
      <c r="D34" s="193">
        <v>1406.2</v>
      </c>
      <c r="E34" s="193">
        <v>0</v>
      </c>
      <c r="F34" s="193">
        <v>25942.34</v>
      </c>
      <c r="G34" s="193">
        <v>0</v>
      </c>
      <c r="H34" s="193">
        <v>-25278.75</v>
      </c>
      <c r="I34" s="193">
        <v>0</v>
      </c>
      <c r="J34" s="193">
        <v>-742.61</v>
      </c>
      <c r="K34" s="193">
        <v>0</v>
      </c>
      <c r="L34" s="193">
        <v>663.59</v>
      </c>
    </row>
    <row r="35" spans="1:12" x14ac:dyDescent="0.25">
      <c r="A35" s="191" t="s">
        <v>601</v>
      </c>
      <c r="B35" s="192" t="s">
        <v>602</v>
      </c>
      <c r="C35" s="193">
        <v>1033.1099999999999</v>
      </c>
      <c r="D35" s="193">
        <v>0</v>
      </c>
      <c r="E35" s="193">
        <v>5240</v>
      </c>
      <c r="F35" s="193">
        <v>0</v>
      </c>
      <c r="G35" s="193">
        <v>0</v>
      </c>
      <c r="H35" s="193">
        <v>0</v>
      </c>
      <c r="I35" s="193">
        <v>4206.8900000000003</v>
      </c>
      <c r="J35" s="193">
        <v>0</v>
      </c>
      <c r="K35" s="193">
        <v>5240</v>
      </c>
      <c r="L35" s="193">
        <v>0</v>
      </c>
    </row>
    <row r="36" spans="1:12" x14ac:dyDescent="0.25">
      <c r="A36" s="191" t="s">
        <v>603</v>
      </c>
      <c r="B36" s="192" t="s">
        <v>604</v>
      </c>
      <c r="C36" s="193">
        <v>2223.0700000000002</v>
      </c>
      <c r="D36" s="193">
        <v>0</v>
      </c>
      <c r="E36" s="193">
        <v>2223.0700000000002</v>
      </c>
      <c r="F36" s="193">
        <v>0</v>
      </c>
      <c r="G36" s="193">
        <v>0</v>
      </c>
      <c r="H36" s="193">
        <v>0</v>
      </c>
      <c r="I36" s="193">
        <v>0</v>
      </c>
      <c r="J36" s="193">
        <v>0</v>
      </c>
      <c r="K36" s="193">
        <v>2223.0700000000002</v>
      </c>
      <c r="L36" s="193">
        <v>0</v>
      </c>
    </row>
    <row r="37" spans="1:12" x14ac:dyDescent="0.25">
      <c r="A37" s="191" t="s">
        <v>605</v>
      </c>
      <c r="B37" s="192" t="s">
        <v>606</v>
      </c>
      <c r="C37" s="193">
        <v>0</v>
      </c>
      <c r="D37" s="193">
        <v>0</v>
      </c>
      <c r="E37" s="193">
        <v>3675.91</v>
      </c>
      <c r="F37" s="193">
        <v>0</v>
      </c>
      <c r="G37" s="193">
        <v>54471.23</v>
      </c>
      <c r="H37" s="193">
        <v>56870.43</v>
      </c>
      <c r="I37" s="193">
        <v>974459.81</v>
      </c>
      <c r="J37" s="193">
        <v>973183.1</v>
      </c>
      <c r="K37" s="193">
        <v>1276.71</v>
      </c>
      <c r="L37" s="193">
        <v>0</v>
      </c>
    </row>
    <row r="38" spans="1:12" x14ac:dyDescent="0.25">
      <c r="A38" s="191" t="s">
        <v>607</v>
      </c>
      <c r="B38" s="192" t="s">
        <v>608</v>
      </c>
      <c r="C38" s="193">
        <v>0</v>
      </c>
      <c r="D38" s="193">
        <v>508987.29</v>
      </c>
      <c r="E38" s="193">
        <v>0</v>
      </c>
      <c r="F38" s="193">
        <v>529185.92000000004</v>
      </c>
      <c r="G38" s="193">
        <v>413676.44</v>
      </c>
      <c r="H38" s="193">
        <v>249522.56</v>
      </c>
      <c r="I38" s="193">
        <v>5991582.6600000001</v>
      </c>
      <c r="J38" s="193">
        <v>5847627.4100000001</v>
      </c>
      <c r="K38" s="193">
        <v>0</v>
      </c>
      <c r="L38" s="193">
        <v>365032.04</v>
      </c>
    </row>
    <row r="39" spans="1:12" x14ac:dyDescent="0.25">
      <c r="A39" s="191" t="s">
        <v>609</v>
      </c>
      <c r="B39" s="192" t="s">
        <v>610</v>
      </c>
      <c r="C39" s="193">
        <v>0</v>
      </c>
      <c r="D39" s="193">
        <v>1346.59</v>
      </c>
      <c r="E39" s="193">
        <v>0</v>
      </c>
      <c r="F39" s="193">
        <v>-659.67</v>
      </c>
      <c r="G39" s="193">
        <v>825.34</v>
      </c>
      <c r="H39" s="193">
        <v>1485.01</v>
      </c>
      <c r="I39" s="193">
        <v>2831.6</v>
      </c>
      <c r="J39" s="193">
        <v>1485.01</v>
      </c>
      <c r="K39" s="193">
        <v>0</v>
      </c>
      <c r="L39" s="193">
        <v>0</v>
      </c>
    </row>
    <row r="40" spans="1:12" x14ac:dyDescent="0.25">
      <c r="A40" s="191" t="s">
        <v>611</v>
      </c>
      <c r="B40" s="192" t="s">
        <v>612</v>
      </c>
      <c r="C40" s="193">
        <v>0</v>
      </c>
      <c r="D40" s="193">
        <v>27904.98</v>
      </c>
      <c r="E40" s="193">
        <v>0</v>
      </c>
      <c r="F40" s="193">
        <v>1328</v>
      </c>
      <c r="G40" s="193">
        <v>1328</v>
      </c>
      <c r="H40" s="193">
        <v>30028.75</v>
      </c>
      <c r="I40" s="193">
        <v>27904.98</v>
      </c>
      <c r="J40" s="193">
        <v>30028.75</v>
      </c>
      <c r="K40" s="193">
        <v>0</v>
      </c>
      <c r="L40" s="193">
        <v>30028.75</v>
      </c>
    </row>
    <row r="41" spans="1:12" x14ac:dyDescent="0.25">
      <c r="A41" s="191" t="s">
        <v>613</v>
      </c>
      <c r="B41" s="192" t="s">
        <v>614</v>
      </c>
      <c r="C41" s="193">
        <v>0</v>
      </c>
      <c r="D41" s="193">
        <v>41918.480000000003</v>
      </c>
      <c r="E41" s="193">
        <v>0</v>
      </c>
      <c r="F41" s="193">
        <v>36989.279999999999</v>
      </c>
      <c r="G41" s="193">
        <v>13372.57</v>
      </c>
      <c r="H41" s="193">
        <v>27942.69</v>
      </c>
      <c r="I41" s="193">
        <v>414563.62</v>
      </c>
      <c r="J41" s="193">
        <v>424204.54</v>
      </c>
      <c r="K41" s="193">
        <v>0</v>
      </c>
      <c r="L41" s="193">
        <v>51559.4</v>
      </c>
    </row>
    <row r="42" spans="1:12" x14ac:dyDescent="0.25">
      <c r="A42" s="191" t="s">
        <v>615</v>
      </c>
      <c r="B42" s="192" t="s">
        <v>616</v>
      </c>
      <c r="C42" s="193">
        <v>0</v>
      </c>
      <c r="D42" s="193">
        <v>34965.46</v>
      </c>
      <c r="E42" s="193">
        <v>0</v>
      </c>
      <c r="F42" s="193">
        <v>34960.550000000003</v>
      </c>
      <c r="G42" s="193">
        <v>0</v>
      </c>
      <c r="H42" s="193">
        <v>8028.46</v>
      </c>
      <c r="I42" s="193">
        <v>0</v>
      </c>
      <c r="J42" s="193">
        <v>8023.55</v>
      </c>
      <c r="K42" s="193">
        <v>0</v>
      </c>
      <c r="L42" s="193">
        <v>42989.01</v>
      </c>
    </row>
    <row r="43" spans="1:12" x14ac:dyDescent="0.25">
      <c r="A43" s="191" t="s">
        <v>617</v>
      </c>
      <c r="B43" s="192" t="s">
        <v>618</v>
      </c>
      <c r="C43" s="193">
        <v>41918.480000000003</v>
      </c>
      <c r="D43" s="193">
        <v>0</v>
      </c>
      <c r="E43" s="193">
        <v>41912.639999999999</v>
      </c>
      <c r="F43" s="193">
        <v>0</v>
      </c>
      <c r="G43" s="193">
        <v>9646.76</v>
      </c>
      <c r="H43" s="193">
        <v>0</v>
      </c>
      <c r="I43" s="193">
        <v>9640.92</v>
      </c>
      <c r="J43" s="193">
        <v>0</v>
      </c>
      <c r="K43" s="193">
        <v>51559.4</v>
      </c>
      <c r="L43" s="193">
        <v>0</v>
      </c>
    </row>
    <row r="44" spans="1:12" x14ac:dyDescent="0.25">
      <c r="A44" s="191" t="s">
        <v>619</v>
      </c>
      <c r="B44" s="192" t="s">
        <v>620</v>
      </c>
      <c r="C44" s="193">
        <v>0</v>
      </c>
      <c r="D44" s="193">
        <v>3570.98</v>
      </c>
      <c r="E44" s="193">
        <v>0</v>
      </c>
      <c r="F44" s="193">
        <v>0</v>
      </c>
      <c r="G44" s="193">
        <v>0</v>
      </c>
      <c r="H44" s="193">
        <v>1655.85</v>
      </c>
      <c r="I44" s="193">
        <v>3570.98</v>
      </c>
      <c r="J44" s="193">
        <v>1655.85</v>
      </c>
      <c r="K44" s="193">
        <v>0</v>
      </c>
      <c r="L44" s="193">
        <v>1655.85</v>
      </c>
    </row>
    <row r="45" spans="1:12" x14ac:dyDescent="0.25">
      <c r="A45" s="191" t="s">
        <v>621</v>
      </c>
      <c r="B45" s="192" t="s">
        <v>622</v>
      </c>
      <c r="C45" s="193">
        <v>0</v>
      </c>
      <c r="D45" s="193">
        <v>0</v>
      </c>
      <c r="E45" s="193">
        <v>0</v>
      </c>
      <c r="F45" s="193">
        <v>0</v>
      </c>
      <c r="G45" s="193">
        <v>32327.97</v>
      </c>
      <c r="H45" s="193">
        <v>32327.97</v>
      </c>
      <c r="I45" s="193">
        <v>371609.94</v>
      </c>
      <c r="J45" s="193">
        <v>371609.94</v>
      </c>
      <c r="K45" s="193">
        <v>0</v>
      </c>
      <c r="L45" s="193">
        <v>0</v>
      </c>
    </row>
    <row r="46" spans="1:12" x14ac:dyDescent="0.25">
      <c r="A46" s="191" t="s">
        <v>623</v>
      </c>
      <c r="B46" s="192" t="s">
        <v>624</v>
      </c>
      <c r="C46" s="193">
        <v>0</v>
      </c>
      <c r="D46" s="193">
        <v>20823.52</v>
      </c>
      <c r="E46" s="193">
        <v>0</v>
      </c>
      <c r="F46" s="193">
        <v>26059.79</v>
      </c>
      <c r="G46" s="193">
        <v>28552.89</v>
      </c>
      <c r="H46" s="193">
        <v>27231.34</v>
      </c>
      <c r="I46" s="193">
        <v>308114.07</v>
      </c>
      <c r="J46" s="193">
        <v>312028.78999999998</v>
      </c>
      <c r="K46" s="193">
        <v>0</v>
      </c>
      <c r="L46" s="193">
        <v>24738.240000000002</v>
      </c>
    </row>
    <row r="47" spans="1:12" x14ac:dyDescent="0.25">
      <c r="A47" s="191" t="s">
        <v>625</v>
      </c>
      <c r="B47" s="192" t="s">
        <v>626</v>
      </c>
      <c r="C47" s="193">
        <v>3366</v>
      </c>
      <c r="D47" s="193">
        <v>0</v>
      </c>
      <c r="E47" s="193">
        <v>3366</v>
      </c>
      <c r="F47" s="193">
        <v>0</v>
      </c>
      <c r="G47" s="193">
        <v>599.85</v>
      </c>
      <c r="H47" s="193">
        <v>599.85</v>
      </c>
      <c r="I47" s="193">
        <v>8417.86</v>
      </c>
      <c r="J47" s="193">
        <v>8417.86</v>
      </c>
      <c r="K47" s="193">
        <v>3366</v>
      </c>
      <c r="L47" s="193">
        <v>0</v>
      </c>
    </row>
    <row r="48" spans="1:12" x14ac:dyDescent="0.25">
      <c r="A48" s="191" t="s">
        <v>627</v>
      </c>
      <c r="B48" s="192" t="s">
        <v>628</v>
      </c>
      <c r="C48" s="193">
        <v>0</v>
      </c>
      <c r="D48" s="193">
        <v>3521.39</v>
      </c>
      <c r="E48" s="193">
        <v>0</v>
      </c>
      <c r="F48" s="193">
        <v>4434.6899999999996</v>
      </c>
      <c r="G48" s="193">
        <v>4434.6899999999996</v>
      </c>
      <c r="H48" s="193">
        <v>4654.71</v>
      </c>
      <c r="I48" s="193">
        <v>51712.59</v>
      </c>
      <c r="J48" s="193">
        <v>52845.91</v>
      </c>
      <c r="K48" s="193">
        <v>0</v>
      </c>
      <c r="L48" s="193">
        <v>4654.71</v>
      </c>
    </row>
    <row r="49" spans="1:12" x14ac:dyDescent="0.25">
      <c r="A49" s="191" t="s">
        <v>629</v>
      </c>
      <c r="B49" s="192" t="s">
        <v>140</v>
      </c>
      <c r="C49" s="193">
        <v>0</v>
      </c>
      <c r="D49" s="193">
        <v>9148.24</v>
      </c>
      <c r="E49" s="193">
        <v>0</v>
      </c>
      <c r="F49" s="193">
        <v>11543.06</v>
      </c>
      <c r="G49" s="193">
        <v>11543.06</v>
      </c>
      <c r="H49" s="193">
        <v>12142.08</v>
      </c>
      <c r="I49" s="193">
        <v>134444.56</v>
      </c>
      <c r="J49" s="193">
        <v>137438.39999999999</v>
      </c>
      <c r="K49" s="193">
        <v>0</v>
      </c>
      <c r="L49" s="193">
        <v>12142.08</v>
      </c>
    </row>
    <row r="50" spans="1:12" x14ac:dyDescent="0.25">
      <c r="A50" s="191" t="s">
        <v>630</v>
      </c>
      <c r="B50" s="192" t="s">
        <v>631</v>
      </c>
      <c r="C50" s="193">
        <v>0</v>
      </c>
      <c r="D50" s="193">
        <v>465.47</v>
      </c>
      <c r="E50" s="193">
        <v>0</v>
      </c>
      <c r="F50" s="193">
        <v>441.25</v>
      </c>
      <c r="G50" s="193">
        <v>637.76</v>
      </c>
      <c r="H50" s="193">
        <v>870.86</v>
      </c>
      <c r="I50" s="193">
        <v>7182.43</v>
      </c>
      <c r="J50" s="193">
        <v>7391.31</v>
      </c>
      <c r="K50" s="193">
        <v>0</v>
      </c>
      <c r="L50" s="193">
        <v>674.35</v>
      </c>
    </row>
    <row r="51" spans="1:12" x14ac:dyDescent="0.25">
      <c r="A51" s="191" t="s">
        <v>632</v>
      </c>
      <c r="B51" s="192" t="s">
        <v>633</v>
      </c>
      <c r="C51" s="193">
        <v>0</v>
      </c>
      <c r="D51" s="193">
        <v>13398.34</v>
      </c>
      <c r="E51" s="193">
        <v>0</v>
      </c>
      <c r="F51" s="193">
        <v>0</v>
      </c>
      <c r="G51" s="193">
        <v>0</v>
      </c>
      <c r="H51" s="193">
        <v>20420.490000000002</v>
      </c>
      <c r="I51" s="193">
        <v>13398.34</v>
      </c>
      <c r="J51" s="193">
        <v>20420.490000000002</v>
      </c>
      <c r="K51" s="193">
        <v>0</v>
      </c>
      <c r="L51" s="193">
        <v>20420.490000000002</v>
      </c>
    </row>
    <row r="52" spans="1:12" x14ac:dyDescent="0.25">
      <c r="A52" s="191" t="s">
        <v>634</v>
      </c>
      <c r="B52" s="192" t="s">
        <v>635</v>
      </c>
      <c r="C52" s="193">
        <v>19758.48</v>
      </c>
      <c r="D52" s="193">
        <v>0</v>
      </c>
      <c r="E52" s="193">
        <v>12164.28</v>
      </c>
      <c r="F52" s="193">
        <v>0</v>
      </c>
      <c r="G52" s="193">
        <v>4054.76</v>
      </c>
      <c r="H52" s="193">
        <v>0</v>
      </c>
      <c r="I52" s="193">
        <v>16219.04</v>
      </c>
      <c r="J52" s="193">
        <v>19758.48</v>
      </c>
      <c r="K52" s="193">
        <v>16219.04</v>
      </c>
      <c r="L52" s="193">
        <v>0</v>
      </c>
    </row>
    <row r="53" spans="1:12" x14ac:dyDescent="0.25">
      <c r="A53" s="191" t="s">
        <v>636</v>
      </c>
      <c r="B53" s="192" t="s">
        <v>637</v>
      </c>
      <c r="C53" s="193">
        <v>0</v>
      </c>
      <c r="D53" s="193">
        <v>2082.16</v>
      </c>
      <c r="E53" s="193">
        <v>0</v>
      </c>
      <c r="F53" s="193">
        <v>2268.92</v>
      </c>
      <c r="G53" s="193">
        <v>2868.4</v>
      </c>
      <c r="H53" s="193">
        <v>3206.56</v>
      </c>
      <c r="I53" s="193">
        <v>30204.880000000001</v>
      </c>
      <c r="J53" s="193">
        <v>30729.8</v>
      </c>
      <c r="K53" s="193">
        <v>0</v>
      </c>
      <c r="L53" s="193">
        <v>2607.08</v>
      </c>
    </row>
    <row r="54" spans="1:12" x14ac:dyDescent="0.25">
      <c r="A54" s="191" t="s">
        <v>638</v>
      </c>
      <c r="B54" s="192" t="s">
        <v>639</v>
      </c>
      <c r="C54" s="193">
        <v>0</v>
      </c>
      <c r="D54" s="193">
        <v>24277.49</v>
      </c>
      <c r="E54" s="193">
        <v>0</v>
      </c>
      <c r="F54" s="193">
        <v>28934.45</v>
      </c>
      <c r="G54" s="193">
        <v>28934.45</v>
      </c>
      <c r="H54" s="193">
        <v>18745.63</v>
      </c>
      <c r="I54" s="193">
        <v>250799.35</v>
      </c>
      <c r="J54" s="193">
        <v>245267.49</v>
      </c>
      <c r="K54" s="193">
        <v>0</v>
      </c>
      <c r="L54" s="193">
        <v>18745.63</v>
      </c>
    </row>
    <row r="55" spans="1:12" x14ac:dyDescent="0.25">
      <c r="A55" s="191" t="s">
        <v>640</v>
      </c>
      <c r="B55" s="192" t="s">
        <v>641</v>
      </c>
      <c r="C55" s="193">
        <v>0</v>
      </c>
      <c r="D55" s="193">
        <v>0</v>
      </c>
      <c r="E55" s="193">
        <v>-3840</v>
      </c>
      <c r="F55" s="193">
        <v>0</v>
      </c>
      <c r="G55" s="193">
        <v>3844</v>
      </c>
      <c r="H55" s="193">
        <v>4</v>
      </c>
      <c r="I55" s="193">
        <v>84883.49</v>
      </c>
      <c r="J55" s="193">
        <v>84883.49</v>
      </c>
      <c r="K55" s="193">
        <v>0</v>
      </c>
      <c r="L55" s="193">
        <v>0</v>
      </c>
    </row>
    <row r="56" spans="1:12" x14ac:dyDescent="0.25">
      <c r="A56" s="191" t="s">
        <v>642</v>
      </c>
      <c r="B56" s="192" t="s">
        <v>643</v>
      </c>
      <c r="C56" s="193">
        <v>0</v>
      </c>
      <c r="D56" s="193">
        <v>0</v>
      </c>
      <c r="E56" s="193">
        <v>0</v>
      </c>
      <c r="F56" s="193">
        <v>0</v>
      </c>
      <c r="G56" s="193">
        <v>0</v>
      </c>
      <c r="H56" s="193">
        <v>0</v>
      </c>
      <c r="I56" s="193">
        <v>39.24</v>
      </c>
      <c r="J56" s="193">
        <v>39.24</v>
      </c>
      <c r="K56" s="193">
        <v>0</v>
      </c>
      <c r="L56" s="193">
        <v>0</v>
      </c>
    </row>
    <row r="57" spans="1:12" x14ac:dyDescent="0.25">
      <c r="A57" s="191" t="s">
        <v>644</v>
      </c>
      <c r="B57" s="192" t="s">
        <v>645</v>
      </c>
      <c r="C57" s="193">
        <v>0</v>
      </c>
      <c r="D57" s="193">
        <v>0</v>
      </c>
      <c r="E57" s="193">
        <v>0</v>
      </c>
      <c r="F57" s="193">
        <v>0</v>
      </c>
      <c r="G57" s="193">
        <v>3.76</v>
      </c>
      <c r="H57" s="193">
        <v>3.76</v>
      </c>
      <c r="I57" s="193">
        <v>41.98</v>
      </c>
      <c r="J57" s="193">
        <v>41.98</v>
      </c>
      <c r="K57" s="193">
        <v>0</v>
      </c>
      <c r="L57" s="193">
        <v>0</v>
      </c>
    </row>
    <row r="58" spans="1:12" x14ac:dyDescent="0.25">
      <c r="A58" s="191" t="s">
        <v>646</v>
      </c>
      <c r="B58" s="192" t="s">
        <v>647</v>
      </c>
      <c r="C58" s="193">
        <v>0</v>
      </c>
      <c r="D58" s="193">
        <v>0</v>
      </c>
      <c r="E58" s="193">
        <v>0</v>
      </c>
      <c r="F58" s="193">
        <v>-1179.6199999999999</v>
      </c>
      <c r="G58" s="193">
        <v>60380.67</v>
      </c>
      <c r="H58" s="193">
        <v>61560.29</v>
      </c>
      <c r="I58" s="193">
        <v>1216519.8799999999</v>
      </c>
      <c r="J58" s="193">
        <v>1216519.8799999999</v>
      </c>
      <c r="K58" s="193">
        <v>0</v>
      </c>
      <c r="L58" s="193">
        <v>0</v>
      </c>
    </row>
    <row r="59" spans="1:12" x14ac:dyDescent="0.25">
      <c r="A59" s="191" t="s">
        <v>648</v>
      </c>
      <c r="B59" s="192" t="s">
        <v>649</v>
      </c>
      <c r="C59" s="193">
        <v>0</v>
      </c>
      <c r="D59" s="193">
        <v>0</v>
      </c>
      <c r="E59" s="193">
        <v>0</v>
      </c>
      <c r="F59" s="193">
        <v>0</v>
      </c>
      <c r="G59" s="193">
        <v>40654.949999999997</v>
      </c>
      <c r="H59" s="193">
        <v>40654.949999999997</v>
      </c>
      <c r="I59" s="193">
        <v>880819.92</v>
      </c>
      <c r="J59" s="193">
        <v>880819.92</v>
      </c>
      <c r="K59" s="193">
        <v>0</v>
      </c>
      <c r="L59" s="193">
        <v>0</v>
      </c>
    </row>
    <row r="60" spans="1:12" x14ac:dyDescent="0.25">
      <c r="A60" s="191" t="s">
        <v>650</v>
      </c>
      <c r="B60" s="192" t="s">
        <v>651</v>
      </c>
      <c r="C60" s="193">
        <v>0</v>
      </c>
      <c r="D60" s="193">
        <v>0</v>
      </c>
      <c r="E60" s="193">
        <v>0</v>
      </c>
      <c r="F60" s="193">
        <v>0</v>
      </c>
      <c r="G60" s="193">
        <v>0</v>
      </c>
      <c r="H60" s="193">
        <v>0</v>
      </c>
      <c r="I60" s="193">
        <v>1505.44</v>
      </c>
      <c r="J60" s="193">
        <v>1505.44</v>
      </c>
      <c r="K60" s="193">
        <v>0</v>
      </c>
      <c r="L60" s="193">
        <v>0</v>
      </c>
    </row>
    <row r="61" spans="1:12" x14ac:dyDescent="0.25">
      <c r="A61" s="191" t="s">
        <v>652</v>
      </c>
      <c r="B61" s="192" t="s">
        <v>653</v>
      </c>
      <c r="C61" s="193">
        <v>0</v>
      </c>
      <c r="D61" s="193">
        <v>0</v>
      </c>
      <c r="E61" s="193">
        <v>-562.83000000000004</v>
      </c>
      <c r="F61" s="193">
        <v>0</v>
      </c>
      <c r="G61" s="193">
        <v>1672.2</v>
      </c>
      <c r="H61" s="193">
        <v>1109.3699999999999</v>
      </c>
      <c r="I61" s="193">
        <v>90560.73</v>
      </c>
      <c r="J61" s="193">
        <v>90560.73</v>
      </c>
      <c r="K61" s="193">
        <v>0</v>
      </c>
      <c r="L61" s="193">
        <v>0</v>
      </c>
    </row>
    <row r="62" spans="1:12" x14ac:dyDescent="0.25">
      <c r="A62" s="191" t="s">
        <v>654</v>
      </c>
      <c r="B62" s="192" t="s">
        <v>655</v>
      </c>
      <c r="C62" s="193">
        <v>0</v>
      </c>
      <c r="D62" s="193">
        <v>4556.72</v>
      </c>
      <c r="E62" s="193">
        <v>0</v>
      </c>
      <c r="F62" s="193">
        <v>4717.03</v>
      </c>
      <c r="G62" s="193">
        <v>916</v>
      </c>
      <c r="H62" s="193">
        <v>0</v>
      </c>
      <c r="I62" s="193">
        <v>8220.7199999999993</v>
      </c>
      <c r="J62" s="193">
        <v>7465.03</v>
      </c>
      <c r="K62" s="193">
        <v>0</v>
      </c>
      <c r="L62" s="193">
        <v>3801.03</v>
      </c>
    </row>
    <row r="63" spans="1:12" x14ac:dyDescent="0.25">
      <c r="A63" s="191" t="s">
        <v>656</v>
      </c>
      <c r="B63" s="192" t="s">
        <v>657</v>
      </c>
      <c r="C63" s="193">
        <v>0</v>
      </c>
      <c r="D63" s="193">
        <v>0</v>
      </c>
      <c r="E63" s="193">
        <v>0</v>
      </c>
      <c r="F63" s="193">
        <v>0</v>
      </c>
      <c r="G63" s="193">
        <v>0</v>
      </c>
      <c r="H63" s="193">
        <v>0</v>
      </c>
      <c r="I63" s="193">
        <v>9975.99</v>
      </c>
      <c r="J63" s="193">
        <v>9975.99</v>
      </c>
      <c r="K63" s="193">
        <v>0</v>
      </c>
      <c r="L63" s="193">
        <v>0</v>
      </c>
    </row>
    <row r="64" spans="1:12" x14ac:dyDescent="0.25">
      <c r="A64" s="191" t="s">
        <v>658</v>
      </c>
      <c r="B64" s="192" t="s">
        <v>659</v>
      </c>
      <c r="C64" s="193">
        <v>0</v>
      </c>
      <c r="D64" s="193">
        <v>0</v>
      </c>
      <c r="E64" s="193">
        <v>0</v>
      </c>
      <c r="F64" s="193">
        <v>0</v>
      </c>
      <c r="G64" s="193">
        <v>0</v>
      </c>
      <c r="H64" s="193">
        <v>0</v>
      </c>
      <c r="I64" s="193">
        <v>135.65</v>
      </c>
      <c r="J64" s="193">
        <v>135.65</v>
      </c>
      <c r="K64" s="193">
        <v>0</v>
      </c>
      <c r="L64" s="193">
        <v>0</v>
      </c>
    </row>
    <row r="65" spans="1:12" x14ac:dyDescent="0.25">
      <c r="A65" s="191" t="s">
        <v>660</v>
      </c>
      <c r="B65" s="192" t="s">
        <v>661</v>
      </c>
      <c r="C65" s="193">
        <v>0</v>
      </c>
      <c r="D65" s="193">
        <v>0</v>
      </c>
      <c r="E65" s="193">
        <v>0</v>
      </c>
      <c r="F65" s="193">
        <v>0</v>
      </c>
      <c r="G65" s="193">
        <v>0</v>
      </c>
      <c r="H65" s="193">
        <v>0</v>
      </c>
      <c r="I65" s="193">
        <v>18.100000000000001</v>
      </c>
      <c r="J65" s="193">
        <v>18.100000000000001</v>
      </c>
      <c r="K65" s="193">
        <v>0</v>
      </c>
      <c r="L65" s="193">
        <v>0</v>
      </c>
    </row>
    <row r="66" spans="1:12" x14ac:dyDescent="0.25">
      <c r="A66" s="191" t="s">
        <v>662</v>
      </c>
      <c r="B66" s="192" t="s">
        <v>663</v>
      </c>
      <c r="C66" s="193">
        <v>0</v>
      </c>
      <c r="D66" s="193">
        <v>0</v>
      </c>
      <c r="E66" s="193">
        <v>95.19</v>
      </c>
      <c r="F66" s="193">
        <v>0</v>
      </c>
      <c r="G66" s="193">
        <v>2477.88</v>
      </c>
      <c r="H66" s="193">
        <v>2573.0700000000002</v>
      </c>
      <c r="I66" s="193">
        <v>5216.1899999999996</v>
      </c>
      <c r="J66" s="193">
        <v>5216.1899999999996</v>
      </c>
      <c r="K66" s="193">
        <v>0</v>
      </c>
      <c r="L66" s="193">
        <v>0</v>
      </c>
    </row>
    <row r="67" spans="1:12" x14ac:dyDescent="0.25">
      <c r="A67" s="191" t="s">
        <v>664</v>
      </c>
      <c r="B67" s="192" t="s">
        <v>665</v>
      </c>
      <c r="C67" s="193">
        <v>0</v>
      </c>
      <c r="D67" s="193">
        <v>29339.19</v>
      </c>
      <c r="E67" s="193">
        <v>0</v>
      </c>
      <c r="F67" s="193">
        <v>30704.15</v>
      </c>
      <c r="G67" s="193">
        <v>14000</v>
      </c>
      <c r="H67" s="193">
        <v>14000</v>
      </c>
      <c r="I67" s="193">
        <v>23635.040000000001</v>
      </c>
      <c r="J67" s="193">
        <v>25000</v>
      </c>
      <c r="K67" s="193">
        <v>0</v>
      </c>
      <c r="L67" s="193">
        <v>30704.15</v>
      </c>
    </row>
    <row r="68" spans="1:12" x14ac:dyDescent="0.25">
      <c r="A68" s="191" t="s">
        <v>666</v>
      </c>
      <c r="B68" s="192" t="s">
        <v>667</v>
      </c>
      <c r="C68" s="193">
        <v>0</v>
      </c>
      <c r="D68" s="193">
        <v>1088.7</v>
      </c>
      <c r="E68" s="193">
        <v>0</v>
      </c>
      <c r="F68" s="193">
        <v>0</v>
      </c>
      <c r="G68" s="193">
        <v>3607.2</v>
      </c>
      <c r="H68" s="193">
        <v>6100.3</v>
      </c>
      <c r="I68" s="193">
        <v>36766.269999999997</v>
      </c>
      <c r="J68" s="193">
        <v>38170.67</v>
      </c>
      <c r="K68" s="193">
        <v>0</v>
      </c>
      <c r="L68" s="193">
        <v>2493.1</v>
      </c>
    </row>
    <row r="69" spans="1:12" x14ac:dyDescent="0.25">
      <c r="A69" s="191" t="s">
        <v>668</v>
      </c>
      <c r="B69" s="192" t="s">
        <v>128</v>
      </c>
      <c r="C69" s="193">
        <v>57146.53</v>
      </c>
      <c r="D69" s="193">
        <v>0</v>
      </c>
      <c r="E69" s="193">
        <v>413.58</v>
      </c>
      <c r="F69" s="193">
        <v>0</v>
      </c>
      <c r="G69" s="193">
        <v>2570.12</v>
      </c>
      <c r="H69" s="193">
        <v>0.57999999999999996</v>
      </c>
      <c r="I69" s="193">
        <v>-48022.47</v>
      </c>
      <c r="J69" s="193">
        <v>6140.94</v>
      </c>
      <c r="K69" s="193">
        <v>2983.12</v>
      </c>
      <c r="L69" s="193">
        <v>0</v>
      </c>
    </row>
    <row r="70" spans="1:12" x14ac:dyDescent="0.25">
      <c r="A70" s="191" t="s">
        <v>669</v>
      </c>
      <c r="B70" s="192" t="s">
        <v>670</v>
      </c>
      <c r="C70" s="193">
        <v>0</v>
      </c>
      <c r="D70" s="193">
        <v>100</v>
      </c>
      <c r="E70" s="193">
        <v>0</v>
      </c>
      <c r="F70" s="193">
        <v>130</v>
      </c>
      <c r="G70" s="193">
        <v>0</v>
      </c>
      <c r="H70" s="193">
        <v>0</v>
      </c>
      <c r="I70" s="193">
        <v>221</v>
      </c>
      <c r="J70" s="193">
        <v>251</v>
      </c>
      <c r="K70" s="193">
        <v>0</v>
      </c>
      <c r="L70" s="193">
        <v>130</v>
      </c>
    </row>
    <row r="71" spans="1:12" x14ac:dyDescent="0.25">
      <c r="A71" s="191" t="s">
        <v>671</v>
      </c>
      <c r="B71" s="192" t="s">
        <v>672</v>
      </c>
      <c r="C71" s="193">
        <v>0</v>
      </c>
      <c r="D71" s="193">
        <v>0</v>
      </c>
      <c r="E71" s="193">
        <v>0</v>
      </c>
      <c r="F71" s="193">
        <v>0</v>
      </c>
      <c r="G71" s="193">
        <v>0</v>
      </c>
      <c r="H71" s="193">
        <v>0</v>
      </c>
      <c r="I71" s="193">
        <v>452.76</v>
      </c>
      <c r="J71" s="193">
        <v>452.76</v>
      </c>
      <c r="K71" s="193">
        <v>0</v>
      </c>
      <c r="L71" s="193">
        <v>0</v>
      </c>
    </row>
    <row r="72" spans="1:12" x14ac:dyDescent="0.25">
      <c r="A72" s="191" t="s">
        <v>673</v>
      </c>
      <c r="B72" s="192" t="s">
        <v>674</v>
      </c>
      <c r="C72" s="193">
        <v>4825.4399999999996</v>
      </c>
      <c r="D72" s="193">
        <v>0</v>
      </c>
      <c r="E72" s="193">
        <v>3585.24</v>
      </c>
      <c r="F72" s="193">
        <v>0</v>
      </c>
      <c r="G72" s="193">
        <v>791.48</v>
      </c>
      <c r="H72" s="193">
        <v>0</v>
      </c>
      <c r="I72" s="193">
        <v>4363.59</v>
      </c>
      <c r="J72" s="193">
        <v>4812.3100000000004</v>
      </c>
      <c r="K72" s="193">
        <v>4376.72</v>
      </c>
      <c r="L72" s="193">
        <v>0</v>
      </c>
    </row>
    <row r="73" spans="1:12" x14ac:dyDescent="0.25">
      <c r="A73" s="191" t="s">
        <v>675</v>
      </c>
      <c r="B73" s="192" t="s">
        <v>676</v>
      </c>
      <c r="C73" s="193">
        <v>104.78</v>
      </c>
      <c r="D73" s="193">
        <v>0</v>
      </c>
      <c r="E73" s="193">
        <v>0</v>
      </c>
      <c r="F73" s="193">
        <v>0</v>
      </c>
      <c r="G73" s="193">
        <v>83.69</v>
      </c>
      <c r="H73" s="193">
        <v>0</v>
      </c>
      <c r="I73" s="193">
        <v>83.69</v>
      </c>
      <c r="J73" s="193">
        <v>104.78</v>
      </c>
      <c r="K73" s="193">
        <v>83.69</v>
      </c>
      <c r="L73" s="193">
        <v>0</v>
      </c>
    </row>
    <row r="74" spans="1:12" x14ac:dyDescent="0.25">
      <c r="A74" s="191" t="s">
        <v>677</v>
      </c>
      <c r="B74" s="192" t="s">
        <v>678</v>
      </c>
      <c r="C74" s="193">
        <v>0</v>
      </c>
      <c r="D74" s="193">
        <v>3551.75</v>
      </c>
      <c r="E74" s="193">
        <v>0</v>
      </c>
      <c r="F74" s="193">
        <v>3551.75</v>
      </c>
      <c r="G74" s="193">
        <v>0</v>
      </c>
      <c r="H74" s="193">
        <v>0</v>
      </c>
      <c r="I74" s="193">
        <v>0</v>
      </c>
      <c r="J74" s="193">
        <v>0</v>
      </c>
      <c r="K74" s="193">
        <v>0</v>
      </c>
      <c r="L74" s="193">
        <v>3551.75</v>
      </c>
    </row>
    <row r="75" spans="1:12" x14ac:dyDescent="0.25">
      <c r="A75" s="191" t="s">
        <v>679</v>
      </c>
      <c r="B75" s="192" t="s">
        <v>680</v>
      </c>
      <c r="C75" s="193">
        <v>0</v>
      </c>
      <c r="D75" s="193">
        <v>74779.520000000004</v>
      </c>
      <c r="E75" s="193">
        <v>0</v>
      </c>
      <c r="F75" s="193">
        <v>74044.81</v>
      </c>
      <c r="G75" s="193">
        <v>0</v>
      </c>
      <c r="H75" s="193">
        <v>22914.85</v>
      </c>
      <c r="I75" s="193">
        <v>734.71</v>
      </c>
      <c r="J75" s="193">
        <v>22914.85</v>
      </c>
      <c r="K75" s="193">
        <v>0</v>
      </c>
      <c r="L75" s="193">
        <v>96959.66</v>
      </c>
    </row>
    <row r="76" spans="1:12" x14ac:dyDescent="0.25">
      <c r="A76" s="191" t="s">
        <v>681</v>
      </c>
      <c r="B76" s="192" t="s">
        <v>682</v>
      </c>
      <c r="C76" s="193">
        <v>0</v>
      </c>
      <c r="D76" s="193">
        <v>2762.8</v>
      </c>
      <c r="E76" s="193">
        <v>0</v>
      </c>
      <c r="F76" s="193">
        <v>2762.8</v>
      </c>
      <c r="G76" s="193">
        <v>0</v>
      </c>
      <c r="H76" s="193">
        <v>0</v>
      </c>
      <c r="I76" s="193">
        <v>0</v>
      </c>
      <c r="J76" s="193">
        <v>0</v>
      </c>
      <c r="K76" s="193">
        <v>0</v>
      </c>
      <c r="L76" s="193">
        <v>2762.8</v>
      </c>
    </row>
    <row r="77" spans="1:12" x14ac:dyDescent="0.25">
      <c r="A77" s="191" t="s">
        <v>683</v>
      </c>
      <c r="B77" s="192" t="s">
        <v>684</v>
      </c>
      <c r="C77" s="193">
        <v>0</v>
      </c>
      <c r="D77" s="193">
        <v>0</v>
      </c>
      <c r="E77" s="193">
        <v>-516.01</v>
      </c>
      <c r="F77" s="193">
        <v>0</v>
      </c>
      <c r="G77" s="193">
        <v>13974.79</v>
      </c>
      <c r="H77" s="193">
        <v>13458.78</v>
      </c>
      <c r="I77" s="193">
        <v>453392.24</v>
      </c>
      <c r="J77" s="193">
        <v>453392.24</v>
      </c>
      <c r="K77" s="193">
        <v>0</v>
      </c>
      <c r="L77" s="193">
        <v>0</v>
      </c>
    </row>
    <row r="78" spans="1:12" x14ac:dyDescent="0.25">
      <c r="A78" s="191" t="s">
        <v>685</v>
      </c>
      <c r="B78" s="192" t="s">
        <v>393</v>
      </c>
      <c r="C78" s="193">
        <v>0</v>
      </c>
      <c r="D78" s="193">
        <v>102902</v>
      </c>
      <c r="E78" s="193">
        <v>0</v>
      </c>
      <c r="F78" s="193">
        <v>102902</v>
      </c>
      <c r="G78" s="193">
        <v>0</v>
      </c>
      <c r="H78" s="193">
        <v>0</v>
      </c>
      <c r="I78" s="193">
        <v>0</v>
      </c>
      <c r="J78" s="193">
        <v>0</v>
      </c>
      <c r="K78" s="193">
        <v>0</v>
      </c>
      <c r="L78" s="193">
        <v>102902</v>
      </c>
    </row>
    <row r="79" spans="1:12" x14ac:dyDescent="0.25">
      <c r="A79" s="191" t="s">
        <v>686</v>
      </c>
      <c r="B79" s="192" t="s">
        <v>399</v>
      </c>
      <c r="C79" s="193">
        <v>0</v>
      </c>
      <c r="D79" s="193">
        <v>15524.4</v>
      </c>
      <c r="E79" s="193">
        <v>0</v>
      </c>
      <c r="F79" s="193">
        <v>15524.4</v>
      </c>
      <c r="G79" s="193">
        <v>0</v>
      </c>
      <c r="H79" s="193">
        <v>0</v>
      </c>
      <c r="I79" s="193">
        <v>0</v>
      </c>
      <c r="J79" s="193">
        <v>0</v>
      </c>
      <c r="K79" s="193">
        <v>0</v>
      </c>
      <c r="L79" s="193">
        <v>15524.4</v>
      </c>
    </row>
    <row r="80" spans="1:12" x14ac:dyDescent="0.25">
      <c r="A80" s="191" t="s">
        <v>687</v>
      </c>
      <c r="B80" s="192" t="s">
        <v>402</v>
      </c>
      <c r="C80" s="193">
        <v>0</v>
      </c>
      <c r="D80" s="193">
        <v>787255.31</v>
      </c>
      <c r="E80" s="193">
        <v>0</v>
      </c>
      <c r="F80" s="193">
        <v>851784.08</v>
      </c>
      <c r="G80" s="193">
        <v>0</v>
      </c>
      <c r="H80" s="193">
        <v>0</v>
      </c>
      <c r="I80" s="193">
        <v>0</v>
      </c>
      <c r="J80" s="193">
        <v>64528.77</v>
      </c>
      <c r="K80" s="193">
        <v>0</v>
      </c>
      <c r="L80" s="193">
        <v>851784.08</v>
      </c>
    </row>
    <row r="81" spans="1:12" x14ac:dyDescent="0.25">
      <c r="A81" s="191" t="s">
        <v>688</v>
      </c>
      <c r="B81" s="192" t="s">
        <v>689</v>
      </c>
      <c r="C81" s="193">
        <v>0</v>
      </c>
      <c r="D81" s="193">
        <v>64528.77</v>
      </c>
      <c r="E81" s="193">
        <v>0</v>
      </c>
      <c r="F81" s="193">
        <v>0</v>
      </c>
      <c r="G81" s="193">
        <v>0</v>
      </c>
      <c r="H81" s="193">
        <v>0</v>
      </c>
      <c r="I81" s="193">
        <v>64528.77</v>
      </c>
      <c r="J81" s="193">
        <v>0</v>
      </c>
      <c r="K81" s="193">
        <v>0</v>
      </c>
      <c r="L81" s="193">
        <v>0</v>
      </c>
    </row>
    <row r="82" spans="1:12" x14ac:dyDescent="0.25">
      <c r="A82" s="191" t="s">
        <v>690</v>
      </c>
      <c r="B82" s="192" t="s">
        <v>691</v>
      </c>
      <c r="C82" s="193">
        <v>0</v>
      </c>
      <c r="D82" s="193">
        <v>499270</v>
      </c>
      <c r="E82" s="193">
        <v>0</v>
      </c>
      <c r="F82" s="193">
        <v>499270</v>
      </c>
      <c r="G82" s="193">
        <v>0</v>
      </c>
      <c r="H82" s="193">
        <v>-66520.56</v>
      </c>
      <c r="I82" s="193">
        <v>0</v>
      </c>
      <c r="J82" s="193">
        <v>-66520.56</v>
      </c>
      <c r="K82" s="193">
        <v>0</v>
      </c>
      <c r="L82" s="193">
        <v>432749.44</v>
      </c>
    </row>
    <row r="83" spans="1:12" x14ac:dyDescent="0.25">
      <c r="A83" s="191" t="s">
        <v>692</v>
      </c>
      <c r="B83" s="192" t="s">
        <v>693</v>
      </c>
      <c r="C83" s="193">
        <v>0</v>
      </c>
      <c r="D83" s="193">
        <v>66520.56</v>
      </c>
      <c r="E83" s="193">
        <v>0</v>
      </c>
      <c r="F83" s="193">
        <v>5543.38</v>
      </c>
      <c r="G83" s="193">
        <v>5543.38</v>
      </c>
      <c r="H83" s="193">
        <v>66520.56</v>
      </c>
      <c r="I83" s="193">
        <v>66520.56</v>
      </c>
      <c r="J83" s="193">
        <v>66520.56</v>
      </c>
      <c r="K83" s="193">
        <v>0</v>
      </c>
      <c r="L83" s="193">
        <v>66520.56</v>
      </c>
    </row>
    <row r="84" spans="1:12" x14ac:dyDescent="0.25">
      <c r="A84" s="191" t="s">
        <v>694</v>
      </c>
      <c r="B84" s="192" t="s">
        <v>695</v>
      </c>
      <c r="C84" s="193">
        <v>0</v>
      </c>
      <c r="D84" s="193">
        <v>5351.21</v>
      </c>
      <c r="E84" s="193">
        <v>0</v>
      </c>
      <c r="F84" s="193">
        <v>5928.24</v>
      </c>
      <c r="G84" s="193">
        <v>48.69</v>
      </c>
      <c r="H84" s="193">
        <v>168.19</v>
      </c>
      <c r="I84" s="193">
        <v>1386.51</v>
      </c>
      <c r="J84" s="193">
        <v>2083.04</v>
      </c>
      <c r="K84" s="193">
        <v>0</v>
      </c>
      <c r="L84" s="193">
        <v>6047.74</v>
      </c>
    </row>
    <row r="85" spans="1:12" x14ac:dyDescent="0.25">
      <c r="A85" s="191" t="s">
        <v>696</v>
      </c>
      <c r="B85" s="192" t="s">
        <v>697</v>
      </c>
      <c r="C85" s="193">
        <v>0</v>
      </c>
      <c r="D85" s="193">
        <v>31577.29</v>
      </c>
      <c r="E85" s="193">
        <v>0</v>
      </c>
      <c r="F85" s="193">
        <v>0</v>
      </c>
      <c r="G85" s="193">
        <v>0</v>
      </c>
      <c r="H85" s="193">
        <v>33189.64</v>
      </c>
      <c r="I85" s="193">
        <v>0</v>
      </c>
      <c r="J85" s="193">
        <v>1612.35</v>
      </c>
      <c r="K85" s="193">
        <v>0</v>
      </c>
      <c r="L85" s="193">
        <v>33189.64</v>
      </c>
    </row>
    <row r="86" spans="1:12" x14ac:dyDescent="0.25">
      <c r="A86" s="191" t="s">
        <v>698</v>
      </c>
      <c r="B86" s="192" t="s">
        <v>699</v>
      </c>
      <c r="C86" s="193">
        <v>0</v>
      </c>
      <c r="D86" s="193">
        <v>32083.06</v>
      </c>
      <c r="E86" s="193">
        <v>0</v>
      </c>
      <c r="F86" s="193">
        <v>34153.14</v>
      </c>
      <c r="G86" s="193">
        <v>30382.75</v>
      </c>
      <c r="H86" s="193">
        <v>2823.19</v>
      </c>
      <c r="I86" s="193">
        <v>83677.06</v>
      </c>
      <c r="J86" s="193">
        <v>58187.58</v>
      </c>
      <c r="K86" s="193">
        <v>0</v>
      </c>
      <c r="L86" s="193">
        <v>6593.58</v>
      </c>
    </row>
    <row r="87" spans="1:12" x14ac:dyDescent="0.25">
      <c r="A87" s="191" t="s">
        <v>700</v>
      </c>
      <c r="B87" s="192" t="s">
        <v>701</v>
      </c>
      <c r="C87" s="193">
        <v>0</v>
      </c>
      <c r="D87" s="193">
        <v>14466.62</v>
      </c>
      <c r="E87" s="193">
        <v>0</v>
      </c>
      <c r="F87" s="193">
        <v>15088.45</v>
      </c>
      <c r="G87" s="193">
        <v>9289.6200000000008</v>
      </c>
      <c r="H87" s="193">
        <v>967.63</v>
      </c>
      <c r="I87" s="193">
        <v>26576.86</v>
      </c>
      <c r="J87" s="193">
        <v>18876.7</v>
      </c>
      <c r="K87" s="193">
        <v>0</v>
      </c>
      <c r="L87" s="193">
        <v>6766.46</v>
      </c>
    </row>
    <row r="88" spans="1:12" x14ac:dyDescent="0.25">
      <c r="A88" s="191" t="s">
        <v>702</v>
      </c>
      <c r="B88" s="192" t="s">
        <v>703</v>
      </c>
      <c r="C88" s="193">
        <v>0</v>
      </c>
      <c r="D88" s="193">
        <v>23988.61</v>
      </c>
      <c r="E88" s="193">
        <v>0</v>
      </c>
      <c r="F88" s="193">
        <v>23988.61</v>
      </c>
      <c r="G88" s="193">
        <v>0</v>
      </c>
      <c r="H88" s="193">
        <v>3266.92</v>
      </c>
      <c r="I88" s="193">
        <v>0</v>
      </c>
      <c r="J88" s="193">
        <v>3266.92</v>
      </c>
      <c r="K88" s="193">
        <v>0</v>
      </c>
      <c r="L88" s="193">
        <v>27255.53</v>
      </c>
    </row>
    <row r="89" spans="1:12" x14ac:dyDescent="0.25">
      <c r="A89" s="191" t="s">
        <v>704</v>
      </c>
      <c r="B89" s="192" t="s">
        <v>705</v>
      </c>
      <c r="C89" s="193">
        <v>0</v>
      </c>
      <c r="D89" s="193">
        <v>0</v>
      </c>
      <c r="E89" s="193">
        <v>42962.74</v>
      </c>
      <c r="F89" s="193">
        <v>0</v>
      </c>
      <c r="G89" s="193">
        <v>14942.53</v>
      </c>
      <c r="H89" s="193">
        <v>0</v>
      </c>
      <c r="I89" s="193">
        <v>57905.27</v>
      </c>
      <c r="J89" s="193">
        <v>0</v>
      </c>
      <c r="K89" s="193">
        <v>57905.27</v>
      </c>
      <c r="L89" s="193">
        <v>0</v>
      </c>
    </row>
    <row r="90" spans="1:12" x14ac:dyDescent="0.25">
      <c r="A90" s="191" t="s">
        <v>706</v>
      </c>
      <c r="B90" s="192" t="s">
        <v>707</v>
      </c>
      <c r="C90" s="193">
        <v>0</v>
      </c>
      <c r="D90" s="193">
        <v>0</v>
      </c>
      <c r="E90" s="193">
        <v>1103.53</v>
      </c>
      <c r="F90" s="193">
        <v>0</v>
      </c>
      <c r="G90" s="193">
        <v>67.540000000000006</v>
      </c>
      <c r="H90" s="193">
        <v>0</v>
      </c>
      <c r="I90" s="193">
        <v>1171.07</v>
      </c>
      <c r="J90" s="193">
        <v>0</v>
      </c>
      <c r="K90" s="193">
        <v>1171.07</v>
      </c>
      <c r="L90" s="193">
        <v>0</v>
      </c>
    </row>
    <row r="91" spans="1:12" x14ac:dyDescent="0.25">
      <c r="A91" s="191" t="s">
        <v>708</v>
      </c>
      <c r="B91" s="192" t="s">
        <v>709</v>
      </c>
      <c r="C91" s="193">
        <v>0</v>
      </c>
      <c r="D91" s="193">
        <v>0</v>
      </c>
      <c r="E91" s="193">
        <v>59738.77</v>
      </c>
      <c r="F91" s="193">
        <v>0</v>
      </c>
      <c r="G91" s="193">
        <v>9700.33</v>
      </c>
      <c r="H91" s="193">
        <v>0</v>
      </c>
      <c r="I91" s="193">
        <v>69439.100000000006</v>
      </c>
      <c r="J91" s="193">
        <v>0</v>
      </c>
      <c r="K91" s="193">
        <v>69439.100000000006</v>
      </c>
      <c r="L91" s="193">
        <v>0</v>
      </c>
    </row>
    <row r="92" spans="1:12" x14ac:dyDescent="0.25">
      <c r="A92" s="191" t="s">
        <v>710</v>
      </c>
      <c r="B92" s="192" t="s">
        <v>711</v>
      </c>
      <c r="C92" s="193">
        <v>0</v>
      </c>
      <c r="D92" s="193">
        <v>0</v>
      </c>
      <c r="E92" s="193">
        <v>634.12</v>
      </c>
      <c r="F92" s="193">
        <v>0</v>
      </c>
      <c r="G92" s="193">
        <v>133.22</v>
      </c>
      <c r="H92" s="193">
        <v>0</v>
      </c>
      <c r="I92" s="193">
        <v>767.34</v>
      </c>
      <c r="J92" s="193">
        <v>0</v>
      </c>
      <c r="K92" s="193">
        <v>767.34</v>
      </c>
      <c r="L92" s="193">
        <v>0</v>
      </c>
    </row>
    <row r="93" spans="1:12" x14ac:dyDescent="0.25">
      <c r="A93" s="191" t="s">
        <v>712</v>
      </c>
      <c r="B93" s="192" t="s">
        <v>713</v>
      </c>
      <c r="C93" s="193">
        <v>0</v>
      </c>
      <c r="D93" s="193">
        <v>0</v>
      </c>
      <c r="E93" s="193">
        <v>8717.32</v>
      </c>
      <c r="F93" s="193">
        <v>0</v>
      </c>
      <c r="G93" s="193">
        <v>392.5</v>
      </c>
      <c r="H93" s="193">
        <v>0</v>
      </c>
      <c r="I93" s="193">
        <v>9109.82</v>
      </c>
      <c r="J93" s="193">
        <v>0</v>
      </c>
      <c r="K93" s="193">
        <v>9109.82</v>
      </c>
      <c r="L93" s="193">
        <v>0</v>
      </c>
    </row>
    <row r="94" spans="1:12" x14ac:dyDescent="0.25">
      <c r="A94" s="191" t="s">
        <v>714</v>
      </c>
      <c r="B94" s="192" t="s">
        <v>715</v>
      </c>
      <c r="C94" s="193">
        <v>0</v>
      </c>
      <c r="D94" s="193">
        <v>0</v>
      </c>
      <c r="E94" s="193">
        <v>740.71</v>
      </c>
      <c r="F94" s="193">
        <v>0</v>
      </c>
      <c r="G94" s="193">
        <v>6040.55</v>
      </c>
      <c r="H94" s="193">
        <v>0</v>
      </c>
      <c r="I94" s="193">
        <v>7107.26</v>
      </c>
      <c r="J94" s="193">
        <v>326</v>
      </c>
      <c r="K94" s="193">
        <v>6781.26</v>
      </c>
      <c r="L94" s="193">
        <v>0</v>
      </c>
    </row>
    <row r="95" spans="1:12" x14ac:dyDescent="0.25">
      <c r="A95" s="191" t="s">
        <v>1440</v>
      </c>
      <c r="B95" s="192" t="s">
        <v>1441</v>
      </c>
      <c r="C95" s="193">
        <v>0</v>
      </c>
      <c r="D95" s="193">
        <v>0</v>
      </c>
      <c r="E95" s="193">
        <v>0</v>
      </c>
      <c r="F95" s="193">
        <v>0</v>
      </c>
      <c r="G95" s="193">
        <v>15824.01</v>
      </c>
      <c r="H95" s="193">
        <v>0</v>
      </c>
      <c r="I95" s="193">
        <v>15824.01</v>
      </c>
      <c r="J95" s="193">
        <v>0</v>
      </c>
      <c r="K95" s="193">
        <v>15824.01</v>
      </c>
      <c r="L95" s="193">
        <v>0</v>
      </c>
    </row>
    <row r="96" spans="1:12" x14ac:dyDescent="0.25">
      <c r="A96" s="191" t="s">
        <v>716</v>
      </c>
      <c r="B96" s="192" t="s">
        <v>717</v>
      </c>
      <c r="C96" s="193">
        <v>0</v>
      </c>
      <c r="D96" s="193">
        <v>0</v>
      </c>
      <c r="E96" s="193">
        <v>552.70000000000005</v>
      </c>
      <c r="F96" s="193">
        <v>0</v>
      </c>
      <c r="G96" s="193">
        <v>247.78</v>
      </c>
      <c r="H96" s="193">
        <v>0</v>
      </c>
      <c r="I96" s="193">
        <v>800.48</v>
      </c>
      <c r="J96" s="193">
        <v>0</v>
      </c>
      <c r="K96" s="193">
        <v>800.48</v>
      </c>
      <c r="L96" s="193">
        <v>0</v>
      </c>
    </row>
    <row r="97" spans="1:12" x14ac:dyDescent="0.25">
      <c r="A97" s="191" t="s">
        <v>718</v>
      </c>
      <c r="B97" s="192" t="s">
        <v>719</v>
      </c>
      <c r="C97" s="193">
        <v>0</v>
      </c>
      <c r="D97" s="193">
        <v>0</v>
      </c>
      <c r="E97" s="193">
        <v>4048142.53</v>
      </c>
      <c r="F97" s="193">
        <v>0</v>
      </c>
      <c r="G97" s="193">
        <v>286765.40999999997</v>
      </c>
      <c r="H97" s="193">
        <v>0</v>
      </c>
      <c r="I97" s="193">
        <v>4334907.9400000004</v>
      </c>
      <c r="J97" s="193">
        <v>0</v>
      </c>
      <c r="K97" s="193">
        <v>4334907.9400000004</v>
      </c>
      <c r="L97" s="193">
        <v>0</v>
      </c>
    </row>
    <row r="98" spans="1:12" x14ac:dyDescent="0.25">
      <c r="A98" s="191" t="s">
        <v>720</v>
      </c>
      <c r="B98" s="192" t="s">
        <v>721</v>
      </c>
      <c r="C98" s="193">
        <v>0</v>
      </c>
      <c r="D98" s="193">
        <v>0</v>
      </c>
      <c r="E98" s="193">
        <v>-16507.48</v>
      </c>
      <c r="F98" s="193">
        <v>0</v>
      </c>
      <c r="G98" s="193">
        <v>-86323.02</v>
      </c>
      <c r="H98" s="193">
        <v>1216.99</v>
      </c>
      <c r="I98" s="193">
        <v>-102830.5</v>
      </c>
      <c r="J98" s="193">
        <v>1216.99</v>
      </c>
      <c r="K98" s="193">
        <v>-104047.49</v>
      </c>
      <c r="L98" s="193">
        <v>0</v>
      </c>
    </row>
    <row r="99" spans="1:12" x14ac:dyDescent="0.25">
      <c r="A99" s="191" t="s">
        <v>722</v>
      </c>
      <c r="B99" s="192" t="s">
        <v>723</v>
      </c>
      <c r="C99" s="193">
        <v>0</v>
      </c>
      <c r="D99" s="193">
        <v>0</v>
      </c>
      <c r="E99" s="193">
        <v>7647.7</v>
      </c>
      <c r="F99" s="193">
        <v>0</v>
      </c>
      <c r="G99" s="193">
        <v>3536.71</v>
      </c>
      <c r="H99" s="193">
        <v>0</v>
      </c>
      <c r="I99" s="193">
        <v>11184.41</v>
      </c>
      <c r="J99" s="193">
        <v>0</v>
      </c>
      <c r="K99" s="193">
        <v>11184.41</v>
      </c>
      <c r="L99" s="193">
        <v>0</v>
      </c>
    </row>
    <row r="100" spans="1:12" x14ac:dyDescent="0.25">
      <c r="A100" s="191" t="s">
        <v>724</v>
      </c>
      <c r="B100" s="192" t="s">
        <v>725</v>
      </c>
      <c r="C100" s="193">
        <v>0</v>
      </c>
      <c r="D100" s="193">
        <v>0</v>
      </c>
      <c r="E100" s="193">
        <v>13725.77</v>
      </c>
      <c r="F100" s="193">
        <v>0</v>
      </c>
      <c r="G100" s="193">
        <v>13199.38</v>
      </c>
      <c r="H100" s="193">
        <v>0</v>
      </c>
      <c r="I100" s="193">
        <v>26925.15</v>
      </c>
      <c r="J100" s="193">
        <v>0</v>
      </c>
      <c r="K100" s="193">
        <v>26925.15</v>
      </c>
      <c r="L100" s="193">
        <v>0</v>
      </c>
    </row>
    <row r="101" spans="1:12" x14ac:dyDescent="0.25">
      <c r="A101" s="191" t="s">
        <v>726</v>
      </c>
      <c r="B101" s="192" t="s">
        <v>727</v>
      </c>
      <c r="C101" s="193">
        <v>0</v>
      </c>
      <c r="D101" s="193">
        <v>0</v>
      </c>
      <c r="E101" s="193">
        <v>11315.56</v>
      </c>
      <c r="F101" s="193">
        <v>0</v>
      </c>
      <c r="G101" s="193">
        <v>0</v>
      </c>
      <c r="H101" s="193">
        <v>0</v>
      </c>
      <c r="I101" s="193">
        <v>11315.56</v>
      </c>
      <c r="J101" s="193">
        <v>0</v>
      </c>
      <c r="K101" s="193">
        <v>11315.56</v>
      </c>
      <c r="L101" s="193">
        <v>0</v>
      </c>
    </row>
    <row r="102" spans="1:12" x14ac:dyDescent="0.25">
      <c r="A102" s="191" t="s">
        <v>728</v>
      </c>
      <c r="B102" s="192" t="s">
        <v>729</v>
      </c>
      <c r="C102" s="193">
        <v>0</v>
      </c>
      <c r="D102" s="193">
        <v>0</v>
      </c>
      <c r="E102" s="193">
        <v>8722</v>
      </c>
      <c r="F102" s="193">
        <v>0</v>
      </c>
      <c r="G102" s="193">
        <v>1778.99</v>
      </c>
      <c r="H102" s="193">
        <v>0</v>
      </c>
      <c r="I102" s="193">
        <v>10500.99</v>
      </c>
      <c r="J102" s="193">
        <v>0</v>
      </c>
      <c r="K102" s="193">
        <v>10500.99</v>
      </c>
      <c r="L102" s="193">
        <v>0</v>
      </c>
    </row>
    <row r="103" spans="1:12" x14ac:dyDescent="0.25">
      <c r="A103" s="191" t="s">
        <v>730</v>
      </c>
      <c r="B103" s="192" t="s">
        <v>731</v>
      </c>
      <c r="C103" s="193">
        <v>0</v>
      </c>
      <c r="D103" s="193">
        <v>0</v>
      </c>
      <c r="E103" s="193">
        <v>4344.58</v>
      </c>
      <c r="F103" s="193">
        <v>0</v>
      </c>
      <c r="G103" s="193">
        <v>313.48</v>
      </c>
      <c r="H103" s="193">
        <v>0</v>
      </c>
      <c r="I103" s="193">
        <v>4658.0600000000004</v>
      </c>
      <c r="J103" s="193">
        <v>0</v>
      </c>
      <c r="K103" s="193">
        <v>4658.0600000000004</v>
      </c>
      <c r="L103" s="193">
        <v>0</v>
      </c>
    </row>
    <row r="104" spans="1:12" x14ac:dyDescent="0.25">
      <c r="A104" s="191" t="s">
        <v>732</v>
      </c>
      <c r="B104" s="192" t="s">
        <v>733</v>
      </c>
      <c r="C104" s="193">
        <v>0</v>
      </c>
      <c r="D104" s="193">
        <v>0</v>
      </c>
      <c r="E104" s="193">
        <v>1685.75</v>
      </c>
      <c r="F104" s="193">
        <v>0</v>
      </c>
      <c r="G104" s="193">
        <v>917.62</v>
      </c>
      <c r="H104" s="193">
        <v>0</v>
      </c>
      <c r="I104" s="193">
        <v>2603.37</v>
      </c>
      <c r="J104" s="193">
        <v>0</v>
      </c>
      <c r="K104" s="193">
        <v>2603.37</v>
      </c>
      <c r="L104" s="193">
        <v>0</v>
      </c>
    </row>
    <row r="105" spans="1:12" x14ac:dyDescent="0.25">
      <c r="A105" s="191" t="s">
        <v>734</v>
      </c>
      <c r="B105" s="192" t="s">
        <v>735</v>
      </c>
      <c r="C105" s="193">
        <v>0</v>
      </c>
      <c r="D105" s="193">
        <v>0</v>
      </c>
      <c r="E105" s="193">
        <v>26363.62</v>
      </c>
      <c r="F105" s="193">
        <v>0</v>
      </c>
      <c r="G105" s="193">
        <v>6254.32</v>
      </c>
      <c r="H105" s="193">
        <v>0</v>
      </c>
      <c r="I105" s="193">
        <v>32717.439999999999</v>
      </c>
      <c r="J105" s="193">
        <v>99.5</v>
      </c>
      <c r="K105" s="193">
        <v>32617.94</v>
      </c>
      <c r="L105" s="193">
        <v>0</v>
      </c>
    </row>
    <row r="106" spans="1:12" x14ac:dyDescent="0.25">
      <c r="A106" s="191" t="s">
        <v>736</v>
      </c>
      <c r="B106" s="192" t="s">
        <v>737</v>
      </c>
      <c r="C106" s="193">
        <v>0</v>
      </c>
      <c r="D106" s="193">
        <v>0</v>
      </c>
      <c r="E106" s="193">
        <v>12127.37</v>
      </c>
      <c r="F106" s="193">
        <v>0</v>
      </c>
      <c r="G106" s="193">
        <v>1592.93</v>
      </c>
      <c r="H106" s="193">
        <v>0</v>
      </c>
      <c r="I106" s="193">
        <v>13720.3</v>
      </c>
      <c r="J106" s="193">
        <v>0</v>
      </c>
      <c r="K106" s="193">
        <v>13720.3</v>
      </c>
      <c r="L106" s="193">
        <v>0</v>
      </c>
    </row>
    <row r="107" spans="1:12" x14ac:dyDescent="0.25">
      <c r="A107" s="191" t="s">
        <v>738</v>
      </c>
      <c r="B107" s="192" t="s">
        <v>739</v>
      </c>
      <c r="C107" s="193">
        <v>0</v>
      </c>
      <c r="D107" s="193">
        <v>0</v>
      </c>
      <c r="E107" s="193">
        <v>600</v>
      </c>
      <c r="F107" s="193">
        <v>0</v>
      </c>
      <c r="G107" s="193">
        <v>135.35</v>
      </c>
      <c r="H107" s="193">
        <v>0</v>
      </c>
      <c r="I107" s="193">
        <v>735.35</v>
      </c>
      <c r="J107" s="193">
        <v>0</v>
      </c>
      <c r="K107" s="193">
        <v>735.35</v>
      </c>
      <c r="L107" s="193">
        <v>0</v>
      </c>
    </row>
    <row r="108" spans="1:12" x14ac:dyDescent="0.25">
      <c r="A108" s="191" t="s">
        <v>740</v>
      </c>
      <c r="B108" s="192" t="s">
        <v>741</v>
      </c>
      <c r="C108" s="193">
        <v>0</v>
      </c>
      <c r="D108" s="193">
        <v>0</v>
      </c>
      <c r="E108" s="193">
        <v>2462.89</v>
      </c>
      <c r="F108" s="193">
        <v>0</v>
      </c>
      <c r="G108" s="193">
        <v>368.75</v>
      </c>
      <c r="H108" s="193">
        <v>0</v>
      </c>
      <c r="I108" s="193">
        <v>2831.64</v>
      </c>
      <c r="J108" s="193">
        <v>0</v>
      </c>
      <c r="K108" s="193">
        <v>2831.64</v>
      </c>
      <c r="L108" s="193">
        <v>0</v>
      </c>
    </row>
    <row r="109" spans="1:12" x14ac:dyDescent="0.25">
      <c r="A109" s="191" t="s">
        <v>742</v>
      </c>
      <c r="B109" s="192" t="s">
        <v>743</v>
      </c>
      <c r="C109" s="193">
        <v>0</v>
      </c>
      <c r="D109" s="193">
        <v>0</v>
      </c>
      <c r="E109" s="193">
        <v>36029.39</v>
      </c>
      <c r="F109" s="193">
        <v>0</v>
      </c>
      <c r="G109" s="193">
        <v>6220.22</v>
      </c>
      <c r="H109" s="193">
        <v>0</v>
      </c>
      <c r="I109" s="193">
        <v>42249.61</v>
      </c>
      <c r="J109" s="193">
        <v>0</v>
      </c>
      <c r="K109" s="193">
        <v>42249.61</v>
      </c>
      <c r="L109" s="193">
        <v>0</v>
      </c>
    </row>
    <row r="110" spans="1:12" x14ac:dyDescent="0.25">
      <c r="A110" s="191" t="s">
        <v>744</v>
      </c>
      <c r="B110" s="192" t="s">
        <v>745</v>
      </c>
      <c r="C110" s="193">
        <v>0</v>
      </c>
      <c r="D110" s="193">
        <v>0</v>
      </c>
      <c r="E110" s="193">
        <v>2410</v>
      </c>
      <c r="F110" s="193">
        <v>0</v>
      </c>
      <c r="G110" s="193">
        <v>161.94999999999999</v>
      </c>
      <c r="H110" s="193">
        <v>0</v>
      </c>
      <c r="I110" s="193">
        <v>2571.9499999999998</v>
      </c>
      <c r="J110" s="193">
        <v>0</v>
      </c>
      <c r="K110" s="193">
        <v>2571.9499999999998</v>
      </c>
      <c r="L110" s="193">
        <v>0</v>
      </c>
    </row>
    <row r="111" spans="1:12" x14ac:dyDescent="0.25">
      <c r="A111" s="191" t="s">
        <v>746</v>
      </c>
      <c r="B111" s="192" t="s">
        <v>747</v>
      </c>
      <c r="C111" s="193">
        <v>0</v>
      </c>
      <c r="D111" s="193">
        <v>0</v>
      </c>
      <c r="E111" s="193">
        <v>30143.09</v>
      </c>
      <c r="F111" s="193">
        <v>0</v>
      </c>
      <c r="G111" s="193">
        <v>1012.77</v>
      </c>
      <c r="H111" s="193">
        <v>0</v>
      </c>
      <c r="I111" s="193">
        <v>31155.86</v>
      </c>
      <c r="J111" s="193">
        <v>0</v>
      </c>
      <c r="K111" s="193">
        <v>31155.86</v>
      </c>
      <c r="L111" s="193">
        <v>0</v>
      </c>
    </row>
    <row r="112" spans="1:12" x14ac:dyDescent="0.25">
      <c r="A112" s="191" t="s">
        <v>748</v>
      </c>
      <c r="B112" s="192" t="s">
        <v>749</v>
      </c>
      <c r="C112" s="193">
        <v>0</v>
      </c>
      <c r="D112" s="193">
        <v>0</v>
      </c>
      <c r="E112" s="193">
        <v>4707.6000000000004</v>
      </c>
      <c r="F112" s="193">
        <v>0</v>
      </c>
      <c r="G112" s="193">
        <v>1147.5</v>
      </c>
      <c r="H112" s="193">
        <v>0</v>
      </c>
      <c r="I112" s="193">
        <v>5855.1</v>
      </c>
      <c r="J112" s="193">
        <v>0</v>
      </c>
      <c r="K112" s="193">
        <v>5855.1</v>
      </c>
      <c r="L112" s="193">
        <v>0</v>
      </c>
    </row>
    <row r="113" spans="1:12" x14ac:dyDescent="0.25">
      <c r="A113" s="191" t="s">
        <v>750</v>
      </c>
      <c r="B113" s="192" t="s">
        <v>751</v>
      </c>
      <c r="C113" s="193">
        <v>0</v>
      </c>
      <c r="D113" s="193">
        <v>0</v>
      </c>
      <c r="E113" s="193">
        <v>584.27</v>
      </c>
      <c r="F113" s="193">
        <v>0</v>
      </c>
      <c r="G113" s="193">
        <v>153.52000000000001</v>
      </c>
      <c r="H113" s="193">
        <v>0</v>
      </c>
      <c r="I113" s="193">
        <v>737.79</v>
      </c>
      <c r="J113" s="193">
        <v>0</v>
      </c>
      <c r="K113" s="193">
        <v>737.79</v>
      </c>
      <c r="L113" s="193">
        <v>0</v>
      </c>
    </row>
    <row r="114" spans="1:12" x14ac:dyDescent="0.25">
      <c r="A114" s="191" t="s">
        <v>752</v>
      </c>
      <c r="B114" s="192" t="s">
        <v>753</v>
      </c>
      <c r="C114" s="193">
        <v>0</v>
      </c>
      <c r="D114" s="193">
        <v>0</v>
      </c>
      <c r="E114" s="193">
        <v>5255.65</v>
      </c>
      <c r="F114" s="193">
        <v>0</v>
      </c>
      <c r="G114" s="193">
        <v>245.06</v>
      </c>
      <c r="H114" s="193">
        <v>0</v>
      </c>
      <c r="I114" s="193">
        <v>5500.71</v>
      </c>
      <c r="J114" s="193">
        <v>0</v>
      </c>
      <c r="K114" s="193">
        <v>5500.71</v>
      </c>
      <c r="L114" s="193">
        <v>0</v>
      </c>
    </row>
    <row r="115" spans="1:12" x14ac:dyDescent="0.25">
      <c r="A115" s="191" t="s">
        <v>754</v>
      </c>
      <c r="B115" s="192" t="s">
        <v>755</v>
      </c>
      <c r="C115" s="193">
        <v>0</v>
      </c>
      <c r="D115" s="193">
        <v>0</v>
      </c>
      <c r="E115" s="193">
        <v>10703.12</v>
      </c>
      <c r="F115" s="193">
        <v>0</v>
      </c>
      <c r="G115" s="193">
        <v>664.02</v>
      </c>
      <c r="H115" s="193">
        <v>0</v>
      </c>
      <c r="I115" s="193">
        <v>11367.14</v>
      </c>
      <c r="J115" s="193">
        <v>0</v>
      </c>
      <c r="K115" s="193">
        <v>11367.14</v>
      </c>
      <c r="L115" s="193">
        <v>0</v>
      </c>
    </row>
    <row r="116" spans="1:12" x14ac:dyDescent="0.25">
      <c r="A116" s="191" t="s">
        <v>756</v>
      </c>
      <c r="B116" s="192" t="s">
        <v>757</v>
      </c>
      <c r="C116" s="193">
        <v>0</v>
      </c>
      <c r="D116" s="193">
        <v>0</v>
      </c>
      <c r="E116" s="193">
        <v>683.15</v>
      </c>
      <c r="F116" s="193">
        <v>0</v>
      </c>
      <c r="G116" s="193">
        <v>10.5</v>
      </c>
      <c r="H116" s="193">
        <v>0</v>
      </c>
      <c r="I116" s="193">
        <v>693.65</v>
      </c>
      <c r="J116" s="193">
        <v>0</v>
      </c>
      <c r="K116" s="193">
        <v>693.65</v>
      </c>
      <c r="L116" s="193">
        <v>0</v>
      </c>
    </row>
    <row r="117" spans="1:12" x14ac:dyDescent="0.25">
      <c r="A117" s="191" t="s">
        <v>758</v>
      </c>
      <c r="B117" s="192" t="s">
        <v>759</v>
      </c>
      <c r="C117" s="193">
        <v>0</v>
      </c>
      <c r="D117" s="193">
        <v>0</v>
      </c>
      <c r="E117" s="193">
        <v>587.17999999999995</v>
      </c>
      <c r="F117" s="193">
        <v>0</v>
      </c>
      <c r="G117" s="193">
        <v>0</v>
      </c>
      <c r="H117" s="193">
        <v>0</v>
      </c>
      <c r="I117" s="193">
        <v>587.17999999999995</v>
      </c>
      <c r="J117" s="193">
        <v>0</v>
      </c>
      <c r="K117" s="193">
        <v>587.17999999999995</v>
      </c>
      <c r="L117" s="193">
        <v>0</v>
      </c>
    </row>
    <row r="118" spans="1:12" x14ac:dyDescent="0.25">
      <c r="A118" s="191" t="s">
        <v>760</v>
      </c>
      <c r="B118" s="192" t="s">
        <v>761</v>
      </c>
      <c r="C118" s="193">
        <v>0</v>
      </c>
      <c r="D118" s="193">
        <v>0</v>
      </c>
      <c r="E118" s="193">
        <v>26671</v>
      </c>
      <c r="F118" s="193">
        <v>0</v>
      </c>
      <c r="G118" s="193">
        <v>2128</v>
      </c>
      <c r="H118" s="193">
        <v>0</v>
      </c>
      <c r="I118" s="193">
        <v>28799</v>
      </c>
      <c r="J118" s="193">
        <v>0</v>
      </c>
      <c r="K118" s="193">
        <v>28799</v>
      </c>
      <c r="L118" s="193">
        <v>0</v>
      </c>
    </row>
    <row r="119" spans="1:12" x14ac:dyDescent="0.25">
      <c r="A119" s="191" t="s">
        <v>762</v>
      </c>
      <c r="B119" s="192" t="s">
        <v>763</v>
      </c>
      <c r="C119" s="193">
        <v>0</v>
      </c>
      <c r="D119" s="193">
        <v>0</v>
      </c>
      <c r="E119" s="193">
        <v>6516.28</v>
      </c>
      <c r="F119" s="193">
        <v>0</v>
      </c>
      <c r="G119" s="193">
        <v>500</v>
      </c>
      <c r="H119" s="193">
        <v>0</v>
      </c>
      <c r="I119" s="193">
        <v>7016.28</v>
      </c>
      <c r="J119" s="193">
        <v>0</v>
      </c>
      <c r="K119" s="193">
        <v>7016.28</v>
      </c>
      <c r="L119" s="193">
        <v>0</v>
      </c>
    </row>
    <row r="120" spans="1:12" x14ac:dyDescent="0.25">
      <c r="A120" s="191" t="s">
        <v>764</v>
      </c>
      <c r="B120" s="192" t="s">
        <v>765</v>
      </c>
      <c r="C120" s="193">
        <v>0</v>
      </c>
      <c r="D120" s="193">
        <v>0</v>
      </c>
      <c r="E120" s="193">
        <v>51427.61</v>
      </c>
      <c r="F120" s="193">
        <v>0</v>
      </c>
      <c r="G120" s="193">
        <v>1607.77</v>
      </c>
      <c r="H120" s="193">
        <v>0</v>
      </c>
      <c r="I120" s="193">
        <v>53035.38</v>
      </c>
      <c r="J120" s="193">
        <v>0</v>
      </c>
      <c r="K120" s="193">
        <v>53035.38</v>
      </c>
      <c r="L120" s="193">
        <v>0</v>
      </c>
    </row>
    <row r="121" spans="1:12" x14ac:dyDescent="0.25">
      <c r="A121" s="191" t="s">
        <v>766</v>
      </c>
      <c r="B121" s="192" t="s">
        <v>767</v>
      </c>
      <c r="C121" s="193">
        <v>0</v>
      </c>
      <c r="D121" s="193">
        <v>0</v>
      </c>
      <c r="E121" s="193">
        <v>333710.31</v>
      </c>
      <c r="F121" s="193">
        <v>0</v>
      </c>
      <c r="G121" s="193">
        <v>54898.83</v>
      </c>
      <c r="H121" s="193">
        <v>0</v>
      </c>
      <c r="I121" s="193">
        <v>407962.98</v>
      </c>
      <c r="J121" s="193">
        <v>19353.84</v>
      </c>
      <c r="K121" s="193">
        <v>388609.14</v>
      </c>
      <c r="L121" s="193">
        <v>0</v>
      </c>
    </row>
    <row r="122" spans="1:12" x14ac:dyDescent="0.25">
      <c r="A122" s="191" t="s">
        <v>768</v>
      </c>
      <c r="B122" s="192" t="s">
        <v>769</v>
      </c>
      <c r="C122" s="193">
        <v>0</v>
      </c>
      <c r="D122" s="193">
        <v>0</v>
      </c>
      <c r="E122" s="193">
        <v>11480.1</v>
      </c>
      <c r="F122" s="193">
        <v>0</v>
      </c>
      <c r="G122" s="193">
        <v>1511.41</v>
      </c>
      <c r="H122" s="193">
        <v>0</v>
      </c>
      <c r="I122" s="193">
        <v>12991.51</v>
      </c>
      <c r="J122" s="193">
        <v>0</v>
      </c>
      <c r="K122" s="193">
        <v>12991.51</v>
      </c>
      <c r="L122" s="193">
        <v>0</v>
      </c>
    </row>
    <row r="123" spans="1:12" x14ac:dyDescent="0.25">
      <c r="A123" s="191" t="s">
        <v>770</v>
      </c>
      <c r="B123" s="192" t="s">
        <v>628</v>
      </c>
      <c r="C123" s="193">
        <v>0</v>
      </c>
      <c r="D123" s="193">
        <v>0</v>
      </c>
      <c r="E123" s="193">
        <v>27380.2</v>
      </c>
      <c r="F123" s="193">
        <v>0</v>
      </c>
      <c r="G123" s="193">
        <v>10726.1</v>
      </c>
      <c r="H123" s="193">
        <v>0</v>
      </c>
      <c r="I123" s="193">
        <v>44903.94</v>
      </c>
      <c r="J123" s="193">
        <v>6797.64</v>
      </c>
      <c r="K123" s="193">
        <v>38106.300000000003</v>
      </c>
      <c r="L123" s="193">
        <v>0</v>
      </c>
    </row>
    <row r="124" spans="1:12" x14ac:dyDescent="0.25">
      <c r="A124" s="191" t="s">
        <v>771</v>
      </c>
      <c r="B124" s="192" t="s">
        <v>772</v>
      </c>
      <c r="C124" s="193">
        <v>0</v>
      </c>
      <c r="D124" s="193">
        <v>0</v>
      </c>
      <c r="E124" s="193">
        <v>3593.08</v>
      </c>
      <c r="F124" s="193">
        <v>0</v>
      </c>
      <c r="G124" s="193">
        <v>346.46</v>
      </c>
      <c r="H124" s="193">
        <v>0</v>
      </c>
      <c r="I124" s="193">
        <v>3939.54</v>
      </c>
      <c r="J124" s="193">
        <v>0</v>
      </c>
      <c r="K124" s="193">
        <v>3939.54</v>
      </c>
      <c r="L124" s="193">
        <v>0</v>
      </c>
    </row>
    <row r="125" spans="1:12" x14ac:dyDescent="0.25">
      <c r="A125" s="194" t="s">
        <v>773</v>
      </c>
      <c r="B125" s="195" t="s">
        <v>140</v>
      </c>
      <c r="C125" s="196">
        <v>0</v>
      </c>
      <c r="D125" s="196">
        <v>0</v>
      </c>
      <c r="E125" s="196">
        <v>87710.31</v>
      </c>
      <c r="F125" s="196">
        <v>0</v>
      </c>
      <c r="G125" s="196">
        <v>8506.18</v>
      </c>
      <c r="H125" s="196">
        <v>0</v>
      </c>
      <c r="I125" s="196">
        <v>96216.49</v>
      </c>
      <c r="J125" s="196">
        <v>0</v>
      </c>
      <c r="K125" s="196">
        <v>96216.49</v>
      </c>
      <c r="L125" s="196">
        <v>0</v>
      </c>
    </row>
    <row r="126" spans="1:12" x14ac:dyDescent="0.25">
      <c r="A126" s="194" t="s">
        <v>774</v>
      </c>
      <c r="B126" s="195" t="s">
        <v>775</v>
      </c>
      <c r="C126" s="196">
        <v>0</v>
      </c>
      <c r="D126" s="196">
        <v>0</v>
      </c>
      <c r="E126" s="196">
        <v>245.54</v>
      </c>
      <c r="F126" s="196">
        <v>0</v>
      </c>
      <c r="G126" s="196">
        <v>0</v>
      </c>
      <c r="H126" s="196">
        <v>0</v>
      </c>
      <c r="I126" s="196">
        <v>245.54</v>
      </c>
      <c r="J126" s="196">
        <v>0</v>
      </c>
      <c r="K126" s="196">
        <v>245.54</v>
      </c>
      <c r="L126" s="196">
        <v>0</v>
      </c>
    </row>
    <row r="127" spans="1:12" x14ac:dyDescent="0.25">
      <c r="A127" s="194" t="s">
        <v>776</v>
      </c>
      <c r="B127" s="195" t="s">
        <v>777</v>
      </c>
      <c r="C127" s="196">
        <v>0</v>
      </c>
      <c r="D127" s="196">
        <v>0</v>
      </c>
      <c r="E127" s="196">
        <v>3782.82</v>
      </c>
      <c r="F127" s="196">
        <v>0</v>
      </c>
      <c r="G127" s="196">
        <v>396.2</v>
      </c>
      <c r="H127" s="196">
        <v>-196.51</v>
      </c>
      <c r="I127" s="196">
        <v>4375.53</v>
      </c>
      <c r="J127" s="196">
        <v>0</v>
      </c>
      <c r="K127" s="196">
        <v>4375.53</v>
      </c>
      <c r="L127" s="196">
        <v>0</v>
      </c>
    </row>
    <row r="128" spans="1:12" x14ac:dyDescent="0.25">
      <c r="A128" s="194" t="s">
        <v>778</v>
      </c>
      <c r="B128" s="195" t="s">
        <v>779</v>
      </c>
      <c r="C128" s="196">
        <v>0</v>
      </c>
      <c r="D128" s="196">
        <v>0</v>
      </c>
      <c r="E128" s="196">
        <v>1914.85</v>
      </c>
      <c r="F128" s="196">
        <v>0</v>
      </c>
      <c r="G128" s="196">
        <v>168.19</v>
      </c>
      <c r="H128" s="196">
        <v>0</v>
      </c>
      <c r="I128" s="196">
        <v>2083.04</v>
      </c>
      <c r="J128" s="196">
        <v>0</v>
      </c>
      <c r="K128" s="196">
        <v>2083.04</v>
      </c>
      <c r="L128" s="196">
        <v>0</v>
      </c>
    </row>
    <row r="129" spans="1:12" x14ac:dyDescent="0.25">
      <c r="A129" s="194" t="s">
        <v>780</v>
      </c>
      <c r="B129" s="195" t="s">
        <v>781</v>
      </c>
      <c r="C129" s="196">
        <v>0</v>
      </c>
      <c r="D129" s="196">
        <v>0</v>
      </c>
      <c r="E129" s="196">
        <v>9150.7900000000009</v>
      </c>
      <c r="F129" s="196">
        <v>0</v>
      </c>
      <c r="G129" s="196">
        <v>704.7</v>
      </c>
      <c r="H129" s="196">
        <v>0</v>
      </c>
      <c r="I129" s="196">
        <v>9855.49</v>
      </c>
      <c r="J129" s="196">
        <v>0</v>
      </c>
      <c r="K129" s="196">
        <v>9855.49</v>
      </c>
      <c r="L129" s="196">
        <v>0</v>
      </c>
    </row>
    <row r="130" spans="1:12" x14ac:dyDescent="0.25">
      <c r="A130" s="194" t="s">
        <v>782</v>
      </c>
      <c r="B130" s="195" t="s">
        <v>783</v>
      </c>
      <c r="C130" s="196">
        <v>0</v>
      </c>
      <c r="D130" s="196">
        <v>0</v>
      </c>
      <c r="E130" s="196">
        <v>415</v>
      </c>
      <c r="F130" s="196">
        <v>0</v>
      </c>
      <c r="G130" s="196">
        <v>83</v>
      </c>
      <c r="H130" s="196">
        <v>0</v>
      </c>
      <c r="I130" s="196">
        <v>498</v>
      </c>
      <c r="J130" s="196">
        <v>0</v>
      </c>
      <c r="K130" s="196">
        <v>498</v>
      </c>
      <c r="L130" s="196">
        <v>0</v>
      </c>
    </row>
    <row r="131" spans="1:12" x14ac:dyDescent="0.25">
      <c r="A131" s="194" t="s">
        <v>784</v>
      </c>
      <c r="B131" s="195" t="s">
        <v>785</v>
      </c>
      <c r="C131" s="196">
        <v>0</v>
      </c>
      <c r="D131" s="196">
        <v>0</v>
      </c>
      <c r="E131" s="196">
        <v>142.66</v>
      </c>
      <c r="F131" s="196">
        <v>0</v>
      </c>
      <c r="G131" s="196">
        <v>0</v>
      </c>
      <c r="H131" s="196">
        <v>0</v>
      </c>
      <c r="I131" s="196">
        <v>142.66</v>
      </c>
      <c r="J131" s="196">
        <v>0</v>
      </c>
      <c r="K131" s="196">
        <v>142.66</v>
      </c>
      <c r="L131" s="196">
        <v>0</v>
      </c>
    </row>
    <row r="132" spans="1:12" x14ac:dyDescent="0.25">
      <c r="A132" s="194" t="s">
        <v>786</v>
      </c>
      <c r="B132" s="195" t="s">
        <v>787</v>
      </c>
      <c r="C132" s="196">
        <v>0</v>
      </c>
      <c r="D132" s="196">
        <v>0</v>
      </c>
      <c r="E132" s="196">
        <v>317.66000000000003</v>
      </c>
      <c r="F132" s="196">
        <v>0</v>
      </c>
      <c r="G132" s="196">
        <v>24</v>
      </c>
      <c r="H132" s="196">
        <v>0</v>
      </c>
      <c r="I132" s="196">
        <v>341.66</v>
      </c>
      <c r="J132" s="196">
        <v>0</v>
      </c>
      <c r="K132" s="196">
        <v>341.66</v>
      </c>
      <c r="L132" s="196">
        <v>0</v>
      </c>
    </row>
    <row r="133" spans="1:12" x14ac:dyDescent="0.25">
      <c r="A133" s="194" t="s">
        <v>788</v>
      </c>
      <c r="B133" s="195" t="s">
        <v>655</v>
      </c>
      <c r="C133" s="196">
        <v>0</v>
      </c>
      <c r="D133" s="196">
        <v>0</v>
      </c>
      <c r="E133" s="196">
        <v>7465.03</v>
      </c>
      <c r="F133" s="196">
        <v>0</v>
      </c>
      <c r="G133" s="196">
        <v>0</v>
      </c>
      <c r="H133" s="196">
        <v>0</v>
      </c>
      <c r="I133" s="196">
        <v>7465.03</v>
      </c>
      <c r="J133" s="196">
        <v>0</v>
      </c>
      <c r="K133" s="196">
        <v>7465.03</v>
      </c>
      <c r="L133" s="196">
        <v>0</v>
      </c>
    </row>
    <row r="134" spans="1:12" x14ac:dyDescent="0.25">
      <c r="A134" s="194" t="s">
        <v>789</v>
      </c>
      <c r="B134" s="195" t="s">
        <v>657</v>
      </c>
      <c r="C134" s="196">
        <v>0</v>
      </c>
      <c r="D134" s="196">
        <v>0</v>
      </c>
      <c r="E134" s="196">
        <v>9975.99</v>
      </c>
      <c r="F134" s="196">
        <v>0</v>
      </c>
      <c r="G134" s="196">
        <v>0</v>
      </c>
      <c r="H134" s="196">
        <v>0</v>
      </c>
      <c r="I134" s="196">
        <v>9975.99</v>
      </c>
      <c r="J134" s="196">
        <v>0</v>
      </c>
      <c r="K134" s="196">
        <v>9975.99</v>
      </c>
      <c r="L134" s="196">
        <v>0</v>
      </c>
    </row>
    <row r="135" spans="1:12" x14ac:dyDescent="0.25">
      <c r="A135" s="194" t="s">
        <v>790</v>
      </c>
      <c r="B135" s="195" t="s">
        <v>791</v>
      </c>
      <c r="C135" s="196">
        <v>0</v>
      </c>
      <c r="D135" s="196">
        <v>0</v>
      </c>
      <c r="E135" s="196">
        <v>344.49</v>
      </c>
      <c r="F135" s="196">
        <v>0</v>
      </c>
      <c r="G135" s="196">
        <v>0</v>
      </c>
      <c r="H135" s="196">
        <v>0</v>
      </c>
      <c r="I135" s="196">
        <v>344.49</v>
      </c>
      <c r="J135" s="196">
        <v>0</v>
      </c>
      <c r="K135" s="196">
        <v>344.49</v>
      </c>
      <c r="L135" s="196">
        <v>0</v>
      </c>
    </row>
    <row r="136" spans="1:12" x14ac:dyDescent="0.25">
      <c r="A136" s="194" t="s">
        <v>792</v>
      </c>
      <c r="B136" s="195" t="s">
        <v>659</v>
      </c>
      <c r="C136" s="196">
        <v>0</v>
      </c>
      <c r="D136" s="196">
        <v>0</v>
      </c>
      <c r="E136" s="196">
        <v>135.65</v>
      </c>
      <c r="F136" s="196">
        <v>0</v>
      </c>
      <c r="G136" s="196">
        <v>0</v>
      </c>
      <c r="H136" s="196">
        <v>0</v>
      </c>
      <c r="I136" s="196">
        <v>135.65</v>
      </c>
      <c r="J136" s="196">
        <v>0</v>
      </c>
      <c r="K136" s="196">
        <v>135.65</v>
      </c>
      <c r="L136" s="196">
        <v>0</v>
      </c>
    </row>
    <row r="137" spans="1:12" x14ac:dyDescent="0.25">
      <c r="A137" s="194" t="s">
        <v>793</v>
      </c>
      <c r="B137" s="195" t="s">
        <v>661</v>
      </c>
      <c r="C137" s="196">
        <v>0</v>
      </c>
      <c r="D137" s="196">
        <v>0</v>
      </c>
      <c r="E137" s="196">
        <v>18.100000000000001</v>
      </c>
      <c r="F137" s="196">
        <v>0</v>
      </c>
      <c r="G137" s="196">
        <v>0</v>
      </c>
      <c r="H137" s="196">
        <v>0</v>
      </c>
      <c r="I137" s="196">
        <v>18.100000000000001</v>
      </c>
      <c r="J137" s="196">
        <v>0</v>
      </c>
      <c r="K137" s="196">
        <v>18.100000000000001</v>
      </c>
      <c r="L137" s="196">
        <v>0</v>
      </c>
    </row>
    <row r="138" spans="1:12" x14ac:dyDescent="0.25">
      <c r="A138" s="194" t="s">
        <v>794</v>
      </c>
      <c r="B138" s="195" t="s">
        <v>795</v>
      </c>
      <c r="C138" s="196">
        <v>0</v>
      </c>
      <c r="D138" s="196">
        <v>0</v>
      </c>
      <c r="E138" s="196">
        <v>222.96</v>
      </c>
      <c r="F138" s="196">
        <v>0</v>
      </c>
      <c r="G138" s="196">
        <v>0</v>
      </c>
      <c r="H138" s="196">
        <v>0</v>
      </c>
      <c r="I138" s="196">
        <v>222.96</v>
      </c>
      <c r="J138" s="196">
        <v>0</v>
      </c>
      <c r="K138" s="196">
        <v>222.96</v>
      </c>
      <c r="L138" s="196">
        <v>0</v>
      </c>
    </row>
    <row r="139" spans="1:12" x14ac:dyDescent="0.25">
      <c r="A139" s="194" t="s">
        <v>796</v>
      </c>
      <c r="B139" s="195" t="s">
        <v>286</v>
      </c>
      <c r="C139" s="196">
        <v>0</v>
      </c>
      <c r="D139" s="196">
        <v>0</v>
      </c>
      <c r="E139" s="196">
        <v>1282.5</v>
      </c>
      <c r="F139" s="196">
        <v>0</v>
      </c>
      <c r="G139" s="196">
        <v>0</v>
      </c>
      <c r="H139" s="196">
        <v>0</v>
      </c>
      <c r="I139" s="196">
        <v>1282.5</v>
      </c>
      <c r="J139" s="196">
        <v>0</v>
      </c>
      <c r="K139" s="196">
        <v>1282.5</v>
      </c>
      <c r="L139" s="196">
        <v>0</v>
      </c>
    </row>
    <row r="140" spans="1:12" x14ac:dyDescent="0.25">
      <c r="A140" s="194" t="s">
        <v>797</v>
      </c>
      <c r="B140" s="195" t="s">
        <v>798</v>
      </c>
      <c r="C140" s="196">
        <v>0</v>
      </c>
      <c r="D140" s="196">
        <v>0</v>
      </c>
      <c r="E140" s="196">
        <v>1202.6600000000001</v>
      </c>
      <c r="F140" s="196">
        <v>0</v>
      </c>
      <c r="G140" s="196">
        <v>47.59</v>
      </c>
      <c r="H140" s="196">
        <v>31.59</v>
      </c>
      <c r="I140" s="196">
        <v>1250.25</v>
      </c>
      <c r="J140" s="196">
        <v>31.59</v>
      </c>
      <c r="K140" s="196">
        <v>1218.6600000000001</v>
      </c>
      <c r="L140" s="196">
        <v>0</v>
      </c>
    </row>
    <row r="141" spans="1:12" x14ac:dyDescent="0.25">
      <c r="A141" s="194" t="s">
        <v>799</v>
      </c>
      <c r="B141" s="195" t="s">
        <v>800</v>
      </c>
      <c r="C141" s="196">
        <v>0</v>
      </c>
      <c r="D141" s="196">
        <v>0</v>
      </c>
      <c r="E141" s="196">
        <v>0</v>
      </c>
      <c r="F141" s="196">
        <v>0</v>
      </c>
      <c r="G141" s="196">
        <v>0</v>
      </c>
      <c r="H141" s="196">
        <v>0</v>
      </c>
      <c r="I141" s="196">
        <v>0</v>
      </c>
      <c r="J141" s="196">
        <v>0</v>
      </c>
      <c r="K141" s="196">
        <v>0</v>
      </c>
      <c r="L141" s="196">
        <v>0</v>
      </c>
    </row>
    <row r="142" spans="1:12" x14ac:dyDescent="0.25">
      <c r="A142" s="194" t="s">
        <v>801</v>
      </c>
      <c r="B142" s="195" t="s">
        <v>802</v>
      </c>
      <c r="C142" s="196">
        <v>0</v>
      </c>
      <c r="D142" s="196">
        <v>0</v>
      </c>
      <c r="E142" s="196">
        <v>84</v>
      </c>
      <c r="F142" s="196">
        <v>0</v>
      </c>
      <c r="G142" s="196">
        <v>0</v>
      </c>
      <c r="H142" s="196">
        <v>0</v>
      </c>
      <c r="I142" s="196">
        <v>84</v>
      </c>
      <c r="J142" s="196">
        <v>0</v>
      </c>
      <c r="K142" s="196">
        <v>84</v>
      </c>
      <c r="L142" s="196">
        <v>0</v>
      </c>
    </row>
    <row r="143" spans="1:12" x14ac:dyDescent="0.25">
      <c r="A143" s="194" t="s">
        <v>803</v>
      </c>
      <c r="B143" s="195" t="s">
        <v>804</v>
      </c>
      <c r="C143" s="196">
        <v>0</v>
      </c>
      <c r="D143" s="196">
        <v>0</v>
      </c>
      <c r="E143" s="196">
        <v>5240</v>
      </c>
      <c r="F143" s="196">
        <v>0</v>
      </c>
      <c r="G143" s="196">
        <v>0</v>
      </c>
      <c r="H143" s="196">
        <v>0</v>
      </c>
      <c r="I143" s="196">
        <v>5240</v>
      </c>
      <c r="J143" s="196">
        <v>0</v>
      </c>
      <c r="K143" s="196">
        <v>5240</v>
      </c>
      <c r="L143" s="196">
        <v>0</v>
      </c>
    </row>
    <row r="144" spans="1:12" x14ac:dyDescent="0.25">
      <c r="A144" s="194" t="s">
        <v>805</v>
      </c>
      <c r="B144" s="195" t="s">
        <v>806</v>
      </c>
      <c r="C144" s="196">
        <v>0</v>
      </c>
      <c r="D144" s="196">
        <v>0</v>
      </c>
      <c r="E144" s="196">
        <v>12226.8</v>
      </c>
      <c r="F144" s="196">
        <v>0</v>
      </c>
      <c r="G144" s="196">
        <v>0</v>
      </c>
      <c r="H144" s="196">
        <v>0</v>
      </c>
      <c r="I144" s="196">
        <v>12226.8</v>
      </c>
      <c r="J144" s="196">
        <v>0</v>
      </c>
      <c r="K144" s="196">
        <v>12226.8</v>
      </c>
      <c r="L144" s="196">
        <v>0</v>
      </c>
    </row>
    <row r="145" spans="1:12" x14ac:dyDescent="0.25">
      <c r="A145" s="194" t="s">
        <v>1463</v>
      </c>
      <c r="B145" s="195" t="s">
        <v>1464</v>
      </c>
      <c r="C145" s="196">
        <v>0</v>
      </c>
      <c r="D145" s="196">
        <v>0</v>
      </c>
      <c r="E145" s="196">
        <v>-50.58</v>
      </c>
      <c r="F145" s="196">
        <v>0</v>
      </c>
      <c r="G145" s="196">
        <v>22914.85</v>
      </c>
      <c r="H145" s="196">
        <v>0</v>
      </c>
      <c r="I145" s="196">
        <v>22914.85</v>
      </c>
      <c r="J145" s="196">
        <v>50.58</v>
      </c>
      <c r="K145" s="196">
        <v>22864.27</v>
      </c>
      <c r="L145" s="196">
        <v>0</v>
      </c>
    </row>
    <row r="146" spans="1:12" x14ac:dyDescent="0.25">
      <c r="A146" s="194" t="s">
        <v>807</v>
      </c>
      <c r="B146" s="195" t="s">
        <v>808</v>
      </c>
      <c r="C146" s="196">
        <v>0</v>
      </c>
      <c r="D146" s="196">
        <v>0</v>
      </c>
      <c r="E146" s="196">
        <v>1901.16</v>
      </c>
      <c r="F146" s="196">
        <v>0</v>
      </c>
      <c r="G146" s="196">
        <v>29.68</v>
      </c>
      <c r="H146" s="196">
        <v>0</v>
      </c>
      <c r="I146" s="196">
        <v>1930.84</v>
      </c>
      <c r="J146" s="196">
        <v>0</v>
      </c>
      <c r="K146" s="196">
        <v>1930.84</v>
      </c>
      <c r="L146" s="196">
        <v>0</v>
      </c>
    </row>
    <row r="147" spans="1:12" x14ac:dyDescent="0.25">
      <c r="A147" s="194" t="s">
        <v>809</v>
      </c>
      <c r="B147" s="195" t="s">
        <v>810</v>
      </c>
      <c r="C147" s="196">
        <v>0</v>
      </c>
      <c r="D147" s="196">
        <v>0</v>
      </c>
      <c r="E147" s="196">
        <v>0.11</v>
      </c>
      <c r="F147" s="196">
        <v>0</v>
      </c>
      <c r="G147" s="196">
        <v>0.1</v>
      </c>
      <c r="H147" s="196">
        <v>0.08</v>
      </c>
      <c r="I147" s="196">
        <v>1.47</v>
      </c>
      <c r="J147" s="196">
        <v>1.34</v>
      </c>
      <c r="K147" s="196">
        <v>0.13</v>
      </c>
      <c r="L147" s="196">
        <v>0</v>
      </c>
    </row>
    <row r="148" spans="1:12" x14ac:dyDescent="0.25">
      <c r="A148" s="194" t="s">
        <v>811</v>
      </c>
      <c r="B148" s="195" t="s">
        <v>812</v>
      </c>
      <c r="C148" s="196">
        <v>0</v>
      </c>
      <c r="D148" s="196">
        <v>0</v>
      </c>
      <c r="E148" s="196">
        <v>154444</v>
      </c>
      <c r="F148" s="196">
        <v>0</v>
      </c>
      <c r="G148" s="196">
        <v>14296.33</v>
      </c>
      <c r="H148" s="196">
        <v>0</v>
      </c>
      <c r="I148" s="196">
        <v>168740.33</v>
      </c>
      <c r="J148" s="196">
        <v>0</v>
      </c>
      <c r="K148" s="196">
        <v>168740.33</v>
      </c>
      <c r="L148" s="196">
        <v>0</v>
      </c>
    </row>
    <row r="149" spans="1:12" x14ac:dyDescent="0.25">
      <c r="A149" s="194" t="s">
        <v>813</v>
      </c>
      <c r="B149" s="195" t="s">
        <v>814</v>
      </c>
      <c r="C149" s="196">
        <v>0</v>
      </c>
      <c r="D149" s="196">
        <v>0</v>
      </c>
      <c r="E149" s="196">
        <v>15131.64</v>
      </c>
      <c r="F149" s="196">
        <v>0</v>
      </c>
      <c r="G149" s="196">
        <v>1260.9000000000001</v>
      </c>
      <c r="H149" s="196">
        <v>0</v>
      </c>
      <c r="I149" s="196">
        <v>16392.54</v>
      </c>
      <c r="J149" s="196">
        <v>0</v>
      </c>
      <c r="K149" s="196">
        <v>16392.54</v>
      </c>
      <c r="L149" s="196">
        <v>0</v>
      </c>
    </row>
    <row r="150" spans="1:12" x14ac:dyDescent="0.25">
      <c r="A150" s="194" t="s">
        <v>815</v>
      </c>
      <c r="B150" s="195" t="s">
        <v>816</v>
      </c>
      <c r="C150" s="196">
        <v>0</v>
      </c>
      <c r="D150" s="196">
        <v>0</v>
      </c>
      <c r="E150" s="196">
        <v>16405.34</v>
      </c>
      <c r="F150" s="196">
        <v>0</v>
      </c>
      <c r="G150" s="196">
        <v>2852.82</v>
      </c>
      <c r="H150" s="196">
        <v>0</v>
      </c>
      <c r="I150" s="196">
        <v>19258.16</v>
      </c>
      <c r="J150" s="196">
        <v>0</v>
      </c>
      <c r="K150" s="196">
        <v>19258.16</v>
      </c>
      <c r="L150" s="196">
        <v>0</v>
      </c>
    </row>
    <row r="151" spans="1:12" x14ac:dyDescent="0.25">
      <c r="A151" s="194" t="s">
        <v>817</v>
      </c>
      <c r="B151" s="195" t="s">
        <v>818</v>
      </c>
      <c r="C151" s="196">
        <v>0</v>
      </c>
      <c r="D151" s="196">
        <v>0</v>
      </c>
      <c r="E151" s="196">
        <v>54.88</v>
      </c>
      <c r="F151" s="196">
        <v>0</v>
      </c>
      <c r="G151" s="196">
        <v>1.08</v>
      </c>
      <c r="H151" s="196">
        <v>0</v>
      </c>
      <c r="I151" s="196">
        <v>55.96</v>
      </c>
      <c r="J151" s="196">
        <v>0</v>
      </c>
      <c r="K151" s="196">
        <v>55.96</v>
      </c>
      <c r="L151" s="196">
        <v>0</v>
      </c>
    </row>
    <row r="152" spans="1:12" x14ac:dyDescent="0.25">
      <c r="A152" s="194" t="s">
        <v>819</v>
      </c>
      <c r="B152" s="195" t="s">
        <v>820</v>
      </c>
      <c r="C152" s="196">
        <v>0</v>
      </c>
      <c r="D152" s="196">
        <v>0</v>
      </c>
      <c r="E152" s="196">
        <v>8884.8700000000008</v>
      </c>
      <c r="F152" s="196">
        <v>0</v>
      </c>
      <c r="G152" s="196">
        <v>461.28</v>
      </c>
      <c r="H152" s="196">
        <v>0</v>
      </c>
      <c r="I152" s="196">
        <v>9346.15</v>
      </c>
      <c r="J152" s="196">
        <v>0</v>
      </c>
      <c r="K152" s="196">
        <v>9346.15</v>
      </c>
      <c r="L152" s="196">
        <v>0</v>
      </c>
    </row>
    <row r="153" spans="1:12" x14ac:dyDescent="0.25">
      <c r="A153" s="194" t="s">
        <v>821</v>
      </c>
      <c r="B153" s="195" t="s">
        <v>822</v>
      </c>
      <c r="C153" s="196">
        <v>0</v>
      </c>
      <c r="D153" s="196">
        <v>0</v>
      </c>
      <c r="E153" s="196">
        <v>1382.27</v>
      </c>
      <c r="F153" s="196">
        <v>0</v>
      </c>
      <c r="G153" s="196">
        <v>81.540000000000006</v>
      </c>
      <c r="H153" s="196">
        <v>22.9</v>
      </c>
      <c r="I153" s="196">
        <v>1486.71</v>
      </c>
      <c r="J153" s="196">
        <v>45.8</v>
      </c>
      <c r="K153" s="196">
        <v>1440.91</v>
      </c>
      <c r="L153" s="196">
        <v>0</v>
      </c>
    </row>
    <row r="154" spans="1:12" x14ac:dyDescent="0.25">
      <c r="A154" s="194" t="s">
        <v>823</v>
      </c>
      <c r="B154" s="195" t="s">
        <v>824</v>
      </c>
      <c r="C154" s="196">
        <v>0</v>
      </c>
      <c r="D154" s="196">
        <v>0</v>
      </c>
      <c r="E154" s="196">
        <v>2267.7800000000002</v>
      </c>
      <c r="F154" s="196">
        <v>0</v>
      </c>
      <c r="G154" s="196">
        <v>0</v>
      </c>
      <c r="H154" s="196">
        <v>0</v>
      </c>
      <c r="I154" s="196">
        <v>2267.7800000000002</v>
      </c>
      <c r="J154" s="196">
        <v>0</v>
      </c>
      <c r="K154" s="196">
        <v>2267.7800000000002</v>
      </c>
      <c r="L154" s="196">
        <v>0</v>
      </c>
    </row>
    <row r="155" spans="1:12" x14ac:dyDescent="0.25">
      <c r="A155" s="194" t="s">
        <v>825</v>
      </c>
      <c r="B155" s="195" t="s">
        <v>826</v>
      </c>
      <c r="C155" s="196">
        <v>0</v>
      </c>
      <c r="D155" s="196">
        <v>0</v>
      </c>
      <c r="E155" s="196">
        <v>3071.43</v>
      </c>
      <c r="F155" s="196">
        <v>0</v>
      </c>
      <c r="G155" s="196">
        <v>0</v>
      </c>
      <c r="H155" s="196">
        <v>0</v>
      </c>
      <c r="I155" s="196">
        <v>3071.43</v>
      </c>
      <c r="J155" s="196">
        <v>0</v>
      </c>
      <c r="K155" s="196">
        <v>3071.43</v>
      </c>
      <c r="L155" s="196">
        <v>0</v>
      </c>
    </row>
    <row r="156" spans="1:12" x14ac:dyDescent="0.25">
      <c r="A156" s="194" t="s">
        <v>827</v>
      </c>
      <c r="B156" s="195" t="s">
        <v>828</v>
      </c>
      <c r="C156" s="196">
        <v>0</v>
      </c>
      <c r="D156" s="196">
        <v>0</v>
      </c>
      <c r="E156" s="196">
        <v>5342.55</v>
      </c>
      <c r="F156" s="196">
        <v>0</v>
      </c>
      <c r="G156" s="196">
        <v>321.35000000000002</v>
      </c>
      <c r="H156" s="196">
        <v>0</v>
      </c>
      <c r="I156" s="196">
        <v>5663.9</v>
      </c>
      <c r="J156" s="196">
        <v>0</v>
      </c>
      <c r="K156" s="196">
        <v>5663.9</v>
      </c>
      <c r="L156" s="196">
        <v>0</v>
      </c>
    </row>
    <row r="157" spans="1:12" x14ac:dyDescent="0.25">
      <c r="A157" s="194" t="s">
        <v>829</v>
      </c>
      <c r="B157" s="195" t="s">
        <v>830</v>
      </c>
      <c r="C157" s="196">
        <v>0</v>
      </c>
      <c r="D157" s="196">
        <v>0</v>
      </c>
      <c r="E157" s="196">
        <v>717.99</v>
      </c>
      <c r="F157" s="196">
        <v>0</v>
      </c>
      <c r="G157" s="196">
        <v>0</v>
      </c>
      <c r="H157" s="196">
        <v>0</v>
      </c>
      <c r="I157" s="196">
        <v>717.99</v>
      </c>
      <c r="J157" s="196">
        <v>0</v>
      </c>
      <c r="K157" s="196">
        <v>717.99</v>
      </c>
      <c r="L157" s="196">
        <v>0</v>
      </c>
    </row>
    <row r="158" spans="1:12" x14ac:dyDescent="0.25">
      <c r="A158" s="194" t="s">
        <v>831</v>
      </c>
      <c r="B158" s="195" t="s">
        <v>832</v>
      </c>
      <c r="C158" s="196">
        <v>0</v>
      </c>
      <c r="D158" s="196">
        <v>0</v>
      </c>
      <c r="E158" s="196">
        <v>1734.98</v>
      </c>
      <c r="F158" s="196">
        <v>0</v>
      </c>
      <c r="G158" s="196">
        <v>0</v>
      </c>
      <c r="H158" s="196">
        <v>0</v>
      </c>
      <c r="I158" s="196">
        <v>1734.98</v>
      </c>
      <c r="J158" s="196">
        <v>0</v>
      </c>
      <c r="K158" s="196">
        <v>1734.98</v>
      </c>
      <c r="L158" s="196">
        <v>0</v>
      </c>
    </row>
    <row r="159" spans="1:12" x14ac:dyDescent="0.25">
      <c r="A159" s="194" t="s">
        <v>833</v>
      </c>
      <c r="B159" s="195" t="s">
        <v>834</v>
      </c>
      <c r="C159" s="196">
        <v>0</v>
      </c>
      <c r="D159" s="196">
        <v>0</v>
      </c>
      <c r="E159" s="196">
        <v>0.15</v>
      </c>
      <c r="F159" s="196">
        <v>0</v>
      </c>
      <c r="G159" s="196">
        <v>0</v>
      </c>
      <c r="H159" s="196">
        <v>0</v>
      </c>
      <c r="I159" s="196">
        <v>0.15</v>
      </c>
      <c r="J159" s="196">
        <v>0</v>
      </c>
      <c r="K159" s="196">
        <v>0.15</v>
      </c>
      <c r="L159" s="196">
        <v>0</v>
      </c>
    </row>
    <row r="160" spans="1:12" x14ac:dyDescent="0.25">
      <c r="A160" s="194" t="s">
        <v>835</v>
      </c>
      <c r="B160" s="195" t="s">
        <v>836</v>
      </c>
      <c r="C160" s="196">
        <v>0</v>
      </c>
      <c r="D160" s="196">
        <v>0</v>
      </c>
      <c r="E160" s="196">
        <v>2693.13</v>
      </c>
      <c r="F160" s="196">
        <v>0</v>
      </c>
      <c r="G160" s="196">
        <v>0</v>
      </c>
      <c r="H160" s="196">
        <v>0</v>
      </c>
      <c r="I160" s="196">
        <v>2693.13</v>
      </c>
      <c r="J160" s="196">
        <v>0</v>
      </c>
      <c r="K160" s="196">
        <v>2693.13</v>
      </c>
      <c r="L160" s="196">
        <v>0</v>
      </c>
    </row>
    <row r="161" spans="1:12" x14ac:dyDescent="0.25">
      <c r="A161" s="194" t="s">
        <v>837</v>
      </c>
      <c r="B161" s="195" t="s">
        <v>838</v>
      </c>
      <c r="C161" s="196">
        <v>0</v>
      </c>
      <c r="D161" s="196">
        <v>0</v>
      </c>
      <c r="E161" s="196">
        <v>0.03</v>
      </c>
      <c r="F161" s="196">
        <v>0</v>
      </c>
      <c r="G161" s="196">
        <v>20420.490000000002</v>
      </c>
      <c r="H161" s="196">
        <v>0</v>
      </c>
      <c r="I161" s="196">
        <v>20420.52</v>
      </c>
      <c r="J161" s="196">
        <v>0</v>
      </c>
      <c r="K161" s="196">
        <v>20420.52</v>
      </c>
      <c r="L161" s="196">
        <v>0</v>
      </c>
    </row>
    <row r="162" spans="1:12" x14ac:dyDescent="0.25">
      <c r="A162" s="194" t="s">
        <v>1467</v>
      </c>
      <c r="B162" s="195" t="s">
        <v>1468</v>
      </c>
      <c r="C162" s="196">
        <v>0</v>
      </c>
      <c r="D162" s="196">
        <v>0</v>
      </c>
      <c r="E162" s="196">
        <v>0</v>
      </c>
      <c r="F162" s="196">
        <v>0</v>
      </c>
      <c r="G162" s="196">
        <v>3266.92</v>
      </c>
      <c r="H162" s="196">
        <v>0</v>
      </c>
      <c r="I162" s="196">
        <v>3266.92</v>
      </c>
      <c r="J162" s="196">
        <v>0</v>
      </c>
      <c r="K162" s="196">
        <v>3266.92</v>
      </c>
      <c r="L162" s="196">
        <v>0</v>
      </c>
    </row>
    <row r="163" spans="1:12" x14ac:dyDescent="0.25">
      <c r="A163" s="194" t="s">
        <v>839</v>
      </c>
      <c r="B163" s="195" t="s">
        <v>840</v>
      </c>
      <c r="C163" s="196">
        <v>0</v>
      </c>
      <c r="D163" s="196">
        <v>0</v>
      </c>
      <c r="E163" s="196">
        <v>0</v>
      </c>
      <c r="F163" s="196">
        <v>4026.01</v>
      </c>
      <c r="G163" s="196">
        <v>0</v>
      </c>
      <c r="H163" s="196">
        <v>786.77</v>
      </c>
      <c r="I163" s="196">
        <v>0</v>
      </c>
      <c r="J163" s="196">
        <v>4812.78</v>
      </c>
      <c r="K163" s="196">
        <v>0</v>
      </c>
      <c r="L163" s="196">
        <v>4812.78</v>
      </c>
    </row>
    <row r="164" spans="1:12" x14ac:dyDescent="0.25">
      <c r="A164" s="194" t="s">
        <v>841</v>
      </c>
      <c r="B164" s="195" t="s">
        <v>842</v>
      </c>
      <c r="C164" s="196">
        <v>0</v>
      </c>
      <c r="D164" s="196">
        <v>0</v>
      </c>
      <c r="E164" s="196">
        <v>0</v>
      </c>
      <c r="F164" s="196">
        <v>25506.75</v>
      </c>
      <c r="G164" s="196">
        <v>0</v>
      </c>
      <c r="H164" s="196">
        <v>1381.9</v>
      </c>
      <c r="I164" s="196">
        <v>0</v>
      </c>
      <c r="J164" s="196">
        <v>26888.65</v>
      </c>
      <c r="K164" s="196">
        <v>0</v>
      </c>
      <c r="L164" s="196">
        <v>26888.65</v>
      </c>
    </row>
    <row r="165" spans="1:12" x14ac:dyDescent="0.25">
      <c r="A165" s="194" t="s">
        <v>843</v>
      </c>
      <c r="B165" s="195" t="s">
        <v>844</v>
      </c>
      <c r="C165" s="196">
        <v>0</v>
      </c>
      <c r="D165" s="196">
        <v>0</v>
      </c>
      <c r="E165" s="196">
        <v>0</v>
      </c>
      <c r="F165" s="196">
        <v>1069.5899999999999</v>
      </c>
      <c r="G165" s="196">
        <v>0</v>
      </c>
      <c r="H165" s="196">
        <v>2225.54</v>
      </c>
      <c r="I165" s="196">
        <v>0</v>
      </c>
      <c r="J165" s="196">
        <v>3295.13</v>
      </c>
      <c r="K165" s="196">
        <v>0</v>
      </c>
      <c r="L165" s="196">
        <v>3295.13</v>
      </c>
    </row>
    <row r="166" spans="1:12" x14ac:dyDescent="0.25">
      <c r="A166" s="194" t="s">
        <v>845</v>
      </c>
      <c r="B166" s="195" t="s">
        <v>846</v>
      </c>
      <c r="C166" s="196">
        <v>0</v>
      </c>
      <c r="D166" s="196">
        <v>0</v>
      </c>
      <c r="E166" s="196">
        <v>0</v>
      </c>
      <c r="F166" s="196">
        <v>63483.21</v>
      </c>
      <c r="G166" s="196">
        <v>0</v>
      </c>
      <c r="H166" s="196">
        <v>7130.6</v>
      </c>
      <c r="I166" s="196">
        <v>0</v>
      </c>
      <c r="J166" s="196">
        <v>70613.81</v>
      </c>
      <c r="K166" s="196">
        <v>0</v>
      </c>
      <c r="L166" s="196">
        <v>70613.81</v>
      </c>
    </row>
    <row r="167" spans="1:12" x14ac:dyDescent="0.25">
      <c r="A167" s="194" t="s">
        <v>847</v>
      </c>
      <c r="B167" s="195" t="s">
        <v>848</v>
      </c>
      <c r="C167" s="196">
        <v>0</v>
      </c>
      <c r="D167" s="196">
        <v>0</v>
      </c>
      <c r="E167" s="196">
        <v>0</v>
      </c>
      <c r="F167" s="196">
        <v>2138789.7999999998</v>
      </c>
      <c r="G167" s="196">
        <v>0</v>
      </c>
      <c r="H167" s="196">
        <v>119599.01</v>
      </c>
      <c r="I167" s="196">
        <v>0</v>
      </c>
      <c r="J167" s="196">
        <v>2258388.81</v>
      </c>
      <c r="K167" s="196">
        <v>0</v>
      </c>
      <c r="L167" s="196">
        <v>2258388.81</v>
      </c>
    </row>
    <row r="168" spans="1:12" x14ac:dyDescent="0.25">
      <c r="A168" s="194" t="s">
        <v>849</v>
      </c>
      <c r="B168" s="195" t="s">
        <v>850</v>
      </c>
      <c r="C168" s="196">
        <v>0</v>
      </c>
      <c r="D168" s="196">
        <v>0</v>
      </c>
      <c r="E168" s="196">
        <v>0</v>
      </c>
      <c r="F168" s="196">
        <v>1523778.37</v>
      </c>
      <c r="G168" s="196">
        <v>0</v>
      </c>
      <c r="H168" s="196">
        <v>139394.68</v>
      </c>
      <c r="I168" s="196">
        <v>0</v>
      </c>
      <c r="J168" s="196">
        <v>1663173.05</v>
      </c>
      <c r="K168" s="196">
        <v>0</v>
      </c>
      <c r="L168" s="196">
        <v>1663173.05</v>
      </c>
    </row>
    <row r="169" spans="1:12" x14ac:dyDescent="0.25">
      <c r="A169" s="194" t="s">
        <v>851</v>
      </c>
      <c r="B169" s="195" t="s">
        <v>852</v>
      </c>
      <c r="C169" s="196">
        <v>0</v>
      </c>
      <c r="D169" s="196">
        <v>0</v>
      </c>
      <c r="E169" s="196">
        <v>0</v>
      </c>
      <c r="F169" s="196">
        <v>1089766.44</v>
      </c>
      <c r="G169" s="196">
        <v>0</v>
      </c>
      <c r="H169" s="196">
        <v>0</v>
      </c>
      <c r="I169" s="196">
        <v>0</v>
      </c>
      <c r="J169" s="196">
        <v>1089766.44</v>
      </c>
      <c r="K169" s="196">
        <v>0</v>
      </c>
      <c r="L169" s="196">
        <v>1089766.44</v>
      </c>
    </row>
    <row r="170" spans="1:12" x14ac:dyDescent="0.25">
      <c r="A170" s="194" t="s">
        <v>853</v>
      </c>
      <c r="B170" s="195" t="s">
        <v>854</v>
      </c>
      <c r="C170" s="196">
        <v>0</v>
      </c>
      <c r="D170" s="196">
        <v>0</v>
      </c>
      <c r="E170" s="196">
        <v>0</v>
      </c>
      <c r="F170" s="196">
        <v>2384.65</v>
      </c>
      <c r="G170" s="196">
        <v>0</v>
      </c>
      <c r="H170" s="196">
        <v>377.61</v>
      </c>
      <c r="I170" s="196">
        <v>0</v>
      </c>
      <c r="J170" s="196">
        <v>2762.26</v>
      </c>
      <c r="K170" s="196">
        <v>0</v>
      </c>
      <c r="L170" s="196">
        <v>2762.26</v>
      </c>
    </row>
    <row r="171" spans="1:12" x14ac:dyDescent="0.25">
      <c r="A171" s="194" t="s">
        <v>855</v>
      </c>
      <c r="B171" s="195" t="s">
        <v>856</v>
      </c>
      <c r="C171" s="196">
        <v>0</v>
      </c>
      <c r="D171" s="196">
        <v>0</v>
      </c>
      <c r="E171" s="196">
        <v>0</v>
      </c>
      <c r="F171" s="196">
        <v>356833.43</v>
      </c>
      <c r="G171" s="196">
        <v>0</v>
      </c>
      <c r="H171" s="196">
        <v>13414.78</v>
      </c>
      <c r="I171" s="196">
        <v>0</v>
      </c>
      <c r="J171" s="196">
        <v>370248.21</v>
      </c>
      <c r="K171" s="196">
        <v>0</v>
      </c>
      <c r="L171" s="196">
        <v>370248.21</v>
      </c>
    </row>
    <row r="172" spans="1:12" x14ac:dyDescent="0.25">
      <c r="A172" s="194" t="s">
        <v>857</v>
      </c>
      <c r="B172" s="195" t="s">
        <v>858</v>
      </c>
      <c r="C172" s="196">
        <v>0</v>
      </c>
      <c r="D172" s="196">
        <v>0</v>
      </c>
      <c r="E172" s="196">
        <v>0</v>
      </c>
      <c r="F172" s="196">
        <v>116983.62</v>
      </c>
      <c r="G172" s="196">
        <v>0</v>
      </c>
      <c r="H172" s="196">
        <v>2097.65</v>
      </c>
      <c r="I172" s="196">
        <v>0</v>
      </c>
      <c r="J172" s="196">
        <v>119081.27</v>
      </c>
      <c r="K172" s="196">
        <v>0</v>
      </c>
      <c r="L172" s="196">
        <v>119081.27</v>
      </c>
    </row>
    <row r="173" spans="1:12" x14ac:dyDescent="0.25">
      <c r="A173" s="194" t="s">
        <v>859</v>
      </c>
      <c r="B173" s="195" t="s">
        <v>860</v>
      </c>
      <c r="C173" s="196">
        <v>0</v>
      </c>
      <c r="D173" s="196">
        <v>0</v>
      </c>
      <c r="E173" s="196">
        <v>3846.15</v>
      </c>
      <c r="F173" s="196">
        <v>0</v>
      </c>
      <c r="G173" s="196">
        <v>0</v>
      </c>
      <c r="H173" s="196">
        <v>0</v>
      </c>
      <c r="I173" s="196">
        <v>0</v>
      </c>
      <c r="J173" s="196">
        <v>-3846.15</v>
      </c>
      <c r="K173" s="196">
        <v>3846.15</v>
      </c>
      <c r="L173" s="196">
        <v>0</v>
      </c>
    </row>
    <row r="174" spans="1:12" x14ac:dyDescent="0.25">
      <c r="A174" s="194" t="s">
        <v>861</v>
      </c>
      <c r="B174" s="195" t="s">
        <v>862</v>
      </c>
      <c r="C174" s="196">
        <v>0</v>
      </c>
      <c r="D174" s="196">
        <v>0</v>
      </c>
      <c r="E174" s="196">
        <v>0</v>
      </c>
      <c r="F174" s="196">
        <v>9564.57</v>
      </c>
      <c r="G174" s="196">
        <v>0</v>
      </c>
      <c r="H174" s="196">
        <v>1820.8</v>
      </c>
      <c r="I174" s="196">
        <v>0</v>
      </c>
      <c r="J174" s="196">
        <v>11385.37</v>
      </c>
      <c r="K174" s="196">
        <v>0</v>
      </c>
      <c r="L174" s="196">
        <v>11385.37</v>
      </c>
    </row>
    <row r="175" spans="1:12" x14ac:dyDescent="0.25">
      <c r="A175" s="194" t="s">
        <v>863</v>
      </c>
      <c r="B175" s="195" t="s">
        <v>864</v>
      </c>
      <c r="C175" s="196">
        <v>0</v>
      </c>
      <c r="D175" s="196">
        <v>0</v>
      </c>
      <c r="E175" s="196">
        <v>0</v>
      </c>
      <c r="F175" s="196">
        <v>5240</v>
      </c>
      <c r="G175" s="196">
        <v>0</v>
      </c>
      <c r="H175" s="196">
        <v>0</v>
      </c>
      <c r="I175" s="196">
        <v>0</v>
      </c>
      <c r="J175" s="196">
        <v>5240</v>
      </c>
      <c r="K175" s="196">
        <v>0</v>
      </c>
      <c r="L175" s="196">
        <v>5240</v>
      </c>
    </row>
    <row r="176" spans="1:12" x14ac:dyDescent="0.25">
      <c r="A176" s="194" t="s">
        <v>865</v>
      </c>
      <c r="B176" s="195" t="s">
        <v>866</v>
      </c>
      <c r="C176" s="196">
        <v>0</v>
      </c>
      <c r="D176" s="196">
        <v>0</v>
      </c>
      <c r="E176" s="196">
        <v>0</v>
      </c>
      <c r="F176" s="196">
        <v>11597.89</v>
      </c>
      <c r="G176" s="196">
        <v>0</v>
      </c>
      <c r="H176" s="196">
        <v>4105.3900000000003</v>
      </c>
      <c r="I176" s="196">
        <v>255.77</v>
      </c>
      <c r="J176" s="196">
        <v>15959.05</v>
      </c>
      <c r="K176" s="196">
        <v>0</v>
      </c>
      <c r="L176" s="196">
        <v>15703.28</v>
      </c>
    </row>
    <row r="177" spans="1:12" x14ac:dyDescent="0.25">
      <c r="A177" s="194" t="s">
        <v>867</v>
      </c>
      <c r="B177" s="195" t="s">
        <v>810</v>
      </c>
      <c r="C177" s="196">
        <v>0</v>
      </c>
      <c r="D177" s="196">
        <v>0</v>
      </c>
      <c r="E177" s="196">
        <v>0</v>
      </c>
      <c r="F177" s="196">
        <v>1.92</v>
      </c>
      <c r="G177" s="196">
        <v>0.24</v>
      </c>
      <c r="H177" s="196">
        <v>0.02</v>
      </c>
      <c r="I177" s="196">
        <v>2.06</v>
      </c>
      <c r="J177" s="196">
        <v>3.76</v>
      </c>
      <c r="K177" s="196">
        <v>0</v>
      </c>
      <c r="L177" s="196">
        <v>1.7</v>
      </c>
    </row>
    <row r="178" spans="1:12" x14ac:dyDescent="0.25">
      <c r="A178" s="194" t="s">
        <v>868</v>
      </c>
      <c r="B178" s="195" t="s">
        <v>814</v>
      </c>
      <c r="C178" s="196">
        <v>0</v>
      </c>
      <c r="D178" s="196">
        <v>0</v>
      </c>
      <c r="E178" s="196">
        <v>0</v>
      </c>
      <c r="F178" s="196">
        <v>53.23</v>
      </c>
      <c r="G178" s="196">
        <v>0</v>
      </c>
      <c r="H178" s="196">
        <v>0</v>
      </c>
      <c r="I178" s="196">
        <v>0</v>
      </c>
      <c r="J178" s="196">
        <v>53.23</v>
      </c>
      <c r="K178" s="196">
        <v>0</v>
      </c>
      <c r="L178" s="196">
        <v>53.23</v>
      </c>
    </row>
    <row r="179" spans="1:12" x14ac:dyDescent="0.25">
      <c r="A179" s="194" t="s">
        <v>869</v>
      </c>
      <c r="B179" s="195" t="s">
        <v>870</v>
      </c>
      <c r="C179" s="196">
        <v>0</v>
      </c>
      <c r="D179" s="196">
        <v>0</v>
      </c>
      <c r="E179" s="196">
        <v>0</v>
      </c>
      <c r="F179" s="196">
        <v>7.54</v>
      </c>
      <c r="G179" s="196">
        <v>0</v>
      </c>
      <c r="H179" s="196">
        <v>0</v>
      </c>
      <c r="I179" s="196">
        <v>0</v>
      </c>
      <c r="J179" s="196">
        <v>7.54</v>
      </c>
      <c r="K179" s="196">
        <v>0</v>
      </c>
      <c r="L179" s="196">
        <v>7.54</v>
      </c>
    </row>
    <row r="180" spans="1:12" x14ac:dyDescent="0.25">
      <c r="A180" s="194" t="s">
        <v>871</v>
      </c>
      <c r="B180" s="195" t="s">
        <v>872</v>
      </c>
      <c r="C180" s="196">
        <v>0</v>
      </c>
      <c r="D180" s="196">
        <v>0</v>
      </c>
      <c r="E180" s="196">
        <v>0</v>
      </c>
      <c r="F180" s="196">
        <v>7.7</v>
      </c>
      <c r="G180" s="196">
        <v>0</v>
      </c>
      <c r="H180" s="196">
        <v>252.26</v>
      </c>
      <c r="I180" s="196">
        <v>0</v>
      </c>
      <c r="J180" s="196">
        <v>259.95999999999998</v>
      </c>
      <c r="K180" s="196">
        <v>0</v>
      </c>
      <c r="L180" s="196">
        <v>259.95999999999998</v>
      </c>
    </row>
    <row r="181" spans="1:12" x14ac:dyDescent="0.25">
      <c r="A181" s="194" t="s">
        <v>873</v>
      </c>
      <c r="B181" s="195" t="s">
        <v>874</v>
      </c>
      <c r="C181" s="196">
        <v>0</v>
      </c>
      <c r="D181" s="196">
        <v>0</v>
      </c>
      <c r="E181" s="196">
        <v>0</v>
      </c>
      <c r="F181" s="196">
        <v>16087.88</v>
      </c>
      <c r="G181" s="196">
        <v>0</v>
      </c>
      <c r="H181" s="196">
        <v>-16087.88</v>
      </c>
      <c r="I181" s="196">
        <v>0</v>
      </c>
      <c r="J181" s="196">
        <v>0</v>
      </c>
      <c r="K181" s="196">
        <v>0</v>
      </c>
      <c r="L181" s="196">
        <v>0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4"/>
  <sheetViews>
    <sheetView topLeftCell="A10" workbookViewId="0">
      <selection activeCell="B2" sqref="B2"/>
    </sheetView>
  </sheetViews>
  <sheetFormatPr defaultRowHeight="15" x14ac:dyDescent="0.25"/>
  <cols>
    <col min="1" max="1" width="16.140625" style="194" customWidth="1"/>
    <col min="2" max="2" width="46.7109375" style="195" customWidth="1"/>
    <col min="3" max="3" width="15.28515625" style="196" customWidth="1"/>
    <col min="4" max="4" width="15.28515625" style="196" bestFit="1" customWidth="1"/>
    <col min="5" max="5" width="15.140625" style="196" customWidth="1"/>
    <col min="6" max="7" width="15.28515625" style="196" bestFit="1" customWidth="1"/>
    <col min="8" max="8" width="15.28515625" style="196" customWidth="1"/>
    <col min="9" max="11" width="15.28515625" style="196" bestFit="1" customWidth="1"/>
    <col min="12" max="12" width="14.85546875" style="196" customWidth="1"/>
    <col min="13" max="16384" width="9.140625" style="190"/>
  </cols>
  <sheetData>
    <row r="1" spans="1:12" ht="22.5" x14ac:dyDescent="0.25">
      <c r="A1" s="200" t="s">
        <v>536</v>
      </c>
      <c r="B1" s="201" t="s">
        <v>537</v>
      </c>
      <c r="C1" s="202" t="s">
        <v>516</v>
      </c>
      <c r="D1" s="202" t="s">
        <v>517</v>
      </c>
      <c r="E1" s="202" t="s">
        <v>518</v>
      </c>
      <c r="F1" s="202" t="s">
        <v>519</v>
      </c>
      <c r="G1" s="202" t="s">
        <v>520</v>
      </c>
      <c r="H1" s="202" t="s">
        <v>521</v>
      </c>
      <c r="I1" s="202" t="s">
        <v>522</v>
      </c>
      <c r="J1" s="202" t="s">
        <v>523</v>
      </c>
      <c r="K1" s="202" t="s">
        <v>524</v>
      </c>
      <c r="L1" s="202" t="s">
        <v>525</v>
      </c>
    </row>
    <row r="2" spans="1:12" x14ac:dyDescent="0.25">
      <c r="A2" s="191" t="s">
        <v>875</v>
      </c>
      <c r="B2" s="192" t="s">
        <v>539</v>
      </c>
      <c r="C2" s="193">
        <v>14846.87</v>
      </c>
      <c r="D2" s="193">
        <v>0</v>
      </c>
      <c r="E2" s="193">
        <v>14846.87</v>
      </c>
      <c r="F2" s="193">
        <v>0</v>
      </c>
      <c r="G2" s="193">
        <v>0</v>
      </c>
      <c r="H2" s="193">
        <v>0</v>
      </c>
      <c r="I2" s="193">
        <v>0</v>
      </c>
      <c r="J2" s="193">
        <v>0</v>
      </c>
      <c r="K2" s="193">
        <v>14846.87</v>
      </c>
      <c r="L2" s="193">
        <v>0</v>
      </c>
    </row>
    <row r="3" spans="1:12" x14ac:dyDescent="0.25">
      <c r="A3" s="191" t="s">
        <v>876</v>
      </c>
      <c r="B3" s="192" t="s">
        <v>877</v>
      </c>
      <c r="C3" s="193">
        <v>1707272.37</v>
      </c>
      <c r="D3" s="193">
        <v>0</v>
      </c>
      <c r="E3" s="193">
        <v>1707272.37</v>
      </c>
      <c r="F3" s="193">
        <v>0</v>
      </c>
      <c r="G3" s="193">
        <v>0</v>
      </c>
      <c r="H3" s="193">
        <v>0</v>
      </c>
      <c r="I3" s="193">
        <v>0</v>
      </c>
      <c r="J3" s="193">
        <v>0</v>
      </c>
      <c r="K3" s="193">
        <v>1707272.37</v>
      </c>
      <c r="L3" s="193">
        <v>0</v>
      </c>
    </row>
    <row r="4" spans="1:12" x14ac:dyDescent="0.25">
      <c r="A4" s="191" t="s">
        <v>878</v>
      </c>
      <c r="B4" s="192" t="s">
        <v>879</v>
      </c>
      <c r="C4" s="193">
        <v>805377.51</v>
      </c>
      <c r="D4" s="193">
        <v>0</v>
      </c>
      <c r="E4" s="193">
        <v>808871.08</v>
      </c>
      <c r="F4" s="193">
        <v>0</v>
      </c>
      <c r="G4" s="193">
        <v>0</v>
      </c>
      <c r="H4" s="193">
        <v>0</v>
      </c>
      <c r="I4" s="193">
        <v>30607.99</v>
      </c>
      <c r="J4" s="193">
        <v>27114.42</v>
      </c>
      <c r="K4" s="193">
        <v>808871.08</v>
      </c>
      <c r="L4" s="193">
        <v>0</v>
      </c>
    </row>
    <row r="5" spans="1:12" x14ac:dyDescent="0.25">
      <c r="A5" s="191" t="s">
        <v>880</v>
      </c>
      <c r="B5" s="192" t="s">
        <v>41</v>
      </c>
      <c r="C5" s="193">
        <v>103220.21</v>
      </c>
      <c r="D5" s="193">
        <v>0</v>
      </c>
      <c r="E5" s="193">
        <v>103220.21</v>
      </c>
      <c r="F5" s="193">
        <v>0</v>
      </c>
      <c r="G5" s="193">
        <v>0</v>
      </c>
      <c r="H5" s="193">
        <v>0</v>
      </c>
      <c r="I5" s="193">
        <v>0</v>
      </c>
      <c r="J5" s="193">
        <v>0</v>
      </c>
      <c r="K5" s="193">
        <v>103220.21</v>
      </c>
      <c r="L5" s="193">
        <v>0</v>
      </c>
    </row>
    <row r="6" spans="1:12" x14ac:dyDescent="0.25">
      <c r="A6" s="191" t="s">
        <v>881</v>
      </c>
      <c r="B6" s="192" t="s">
        <v>545</v>
      </c>
      <c r="C6" s="193">
        <v>46917.58</v>
      </c>
      <c r="D6" s="193">
        <v>0</v>
      </c>
      <c r="E6" s="193">
        <v>45310.36</v>
      </c>
      <c r="F6" s="193">
        <v>0</v>
      </c>
      <c r="G6" s="193">
        <v>0</v>
      </c>
      <c r="H6" s="193">
        <v>0</v>
      </c>
      <c r="I6" s="193">
        <v>30607.99</v>
      </c>
      <c r="J6" s="193">
        <v>32215.21</v>
      </c>
      <c r="K6" s="193">
        <v>45310.36</v>
      </c>
      <c r="L6" s="193">
        <v>0</v>
      </c>
    </row>
    <row r="7" spans="1:12" x14ac:dyDescent="0.25">
      <c r="A7" s="191" t="s">
        <v>882</v>
      </c>
      <c r="B7" s="192" t="s">
        <v>549</v>
      </c>
      <c r="C7" s="193">
        <v>0</v>
      </c>
      <c r="D7" s="193">
        <v>14846.87</v>
      </c>
      <c r="E7" s="193">
        <v>0</v>
      </c>
      <c r="F7" s="193">
        <v>14846.87</v>
      </c>
      <c r="G7" s="193">
        <v>0</v>
      </c>
      <c r="H7" s="193">
        <v>0</v>
      </c>
      <c r="I7" s="193">
        <v>0</v>
      </c>
      <c r="J7" s="193">
        <v>0</v>
      </c>
      <c r="K7" s="193">
        <v>0</v>
      </c>
      <c r="L7" s="193">
        <v>14846.87</v>
      </c>
    </row>
    <row r="8" spans="1:12" x14ac:dyDescent="0.25">
      <c r="A8" s="191" t="s">
        <v>883</v>
      </c>
      <c r="B8" s="192" t="s">
        <v>884</v>
      </c>
      <c r="C8" s="193">
        <v>0</v>
      </c>
      <c r="D8" s="193">
        <v>672838.59</v>
      </c>
      <c r="E8" s="193">
        <v>0</v>
      </c>
      <c r="F8" s="193">
        <v>769451.59</v>
      </c>
      <c r="G8" s="193">
        <v>0</v>
      </c>
      <c r="H8" s="193">
        <v>8720</v>
      </c>
      <c r="I8" s="193">
        <v>0</v>
      </c>
      <c r="J8" s="193">
        <v>105333</v>
      </c>
      <c r="K8" s="193">
        <v>0</v>
      </c>
      <c r="L8" s="193">
        <v>778171.59</v>
      </c>
    </row>
    <row r="9" spans="1:12" x14ac:dyDescent="0.25">
      <c r="A9" s="191" t="s">
        <v>885</v>
      </c>
      <c r="B9" s="192" t="s">
        <v>886</v>
      </c>
      <c r="C9" s="193">
        <v>0</v>
      </c>
      <c r="D9" s="193">
        <v>649113.62</v>
      </c>
      <c r="E9" s="193">
        <v>0</v>
      </c>
      <c r="F9" s="193">
        <v>679830.2</v>
      </c>
      <c r="G9" s="193">
        <v>0</v>
      </c>
      <c r="H9" s="193">
        <v>5576.33</v>
      </c>
      <c r="I9" s="193">
        <v>27114.42</v>
      </c>
      <c r="J9" s="193">
        <v>63407.33</v>
      </c>
      <c r="K9" s="193">
        <v>0</v>
      </c>
      <c r="L9" s="193">
        <v>685406.53</v>
      </c>
    </row>
    <row r="10" spans="1:12" x14ac:dyDescent="0.25">
      <c r="A10" s="191" t="s">
        <v>887</v>
      </c>
      <c r="B10" s="192" t="s">
        <v>555</v>
      </c>
      <c r="C10" s="193">
        <v>0</v>
      </c>
      <c r="D10" s="193">
        <v>0</v>
      </c>
      <c r="E10" s="193">
        <v>0.01</v>
      </c>
      <c r="F10" s="193">
        <v>0</v>
      </c>
      <c r="G10" s="193">
        <v>68.55</v>
      </c>
      <c r="H10" s="193">
        <v>68.56</v>
      </c>
      <c r="I10" s="193">
        <v>7977.75</v>
      </c>
      <c r="J10" s="193">
        <v>7977.75</v>
      </c>
      <c r="K10" s="193">
        <v>0</v>
      </c>
      <c r="L10" s="193">
        <v>0</v>
      </c>
    </row>
    <row r="11" spans="1:12" x14ac:dyDescent="0.25">
      <c r="A11" s="191" t="s">
        <v>888</v>
      </c>
      <c r="B11" s="192" t="s">
        <v>557</v>
      </c>
      <c r="C11" s="193">
        <v>16697.21</v>
      </c>
      <c r="D11" s="193">
        <v>0</v>
      </c>
      <c r="E11" s="193">
        <v>20729.39</v>
      </c>
      <c r="F11" s="193">
        <v>0</v>
      </c>
      <c r="G11" s="193">
        <v>68.56</v>
      </c>
      <c r="H11" s="193">
        <v>12888.7</v>
      </c>
      <c r="I11" s="193">
        <v>8921.7900000000009</v>
      </c>
      <c r="J11" s="193">
        <v>17709.75</v>
      </c>
      <c r="K11" s="193">
        <v>7909.25</v>
      </c>
      <c r="L11" s="193">
        <v>0</v>
      </c>
    </row>
    <row r="12" spans="1:12" x14ac:dyDescent="0.25">
      <c r="A12" s="191" t="s">
        <v>889</v>
      </c>
      <c r="B12" s="192" t="s">
        <v>559</v>
      </c>
      <c r="C12" s="193">
        <v>0</v>
      </c>
      <c r="D12" s="193">
        <v>0</v>
      </c>
      <c r="E12" s="193">
        <v>16799.75</v>
      </c>
      <c r="F12" s="193">
        <v>0</v>
      </c>
      <c r="G12" s="193">
        <v>158638.43</v>
      </c>
      <c r="H12" s="193">
        <v>175438.18</v>
      </c>
      <c r="I12" s="193">
        <v>4395015.5199999996</v>
      </c>
      <c r="J12" s="193">
        <v>4395015.5199999996</v>
      </c>
      <c r="K12" s="193">
        <v>0</v>
      </c>
      <c r="L12" s="193">
        <v>0</v>
      </c>
    </row>
    <row r="13" spans="1:12" x14ac:dyDescent="0.25">
      <c r="A13" s="191" t="s">
        <v>890</v>
      </c>
      <c r="B13" s="192" t="s">
        <v>891</v>
      </c>
      <c r="C13" s="193">
        <v>1120732.1100000001</v>
      </c>
      <c r="D13" s="193">
        <v>0</v>
      </c>
      <c r="E13" s="193">
        <v>1281156.3799999999</v>
      </c>
      <c r="F13" s="193">
        <v>0</v>
      </c>
      <c r="G13" s="193">
        <v>169301.75</v>
      </c>
      <c r="H13" s="193">
        <v>257250.03</v>
      </c>
      <c r="I13" s="193">
        <v>4843956.3899999997</v>
      </c>
      <c r="J13" s="193">
        <v>4771480.4000000004</v>
      </c>
      <c r="K13" s="193">
        <v>1193208.1000000001</v>
      </c>
      <c r="L13" s="193">
        <v>0</v>
      </c>
    </row>
    <row r="14" spans="1:12" x14ac:dyDescent="0.25">
      <c r="A14" s="191" t="s">
        <v>892</v>
      </c>
      <c r="B14" s="192" t="s">
        <v>569</v>
      </c>
      <c r="C14" s="193">
        <v>26351.17</v>
      </c>
      <c r="D14" s="193">
        <v>0</v>
      </c>
      <c r="E14" s="193">
        <v>28870.07</v>
      </c>
      <c r="F14" s="193">
        <v>0</v>
      </c>
      <c r="G14" s="193">
        <v>257260.25</v>
      </c>
      <c r="H14" s="193">
        <v>277286.59999999998</v>
      </c>
      <c r="I14" s="193">
        <v>4824171.4800000004</v>
      </c>
      <c r="J14" s="193">
        <v>4841678.93</v>
      </c>
      <c r="K14" s="193">
        <v>8843.7199999999993</v>
      </c>
      <c r="L14" s="193">
        <v>0</v>
      </c>
    </row>
    <row r="15" spans="1:12" x14ac:dyDescent="0.25">
      <c r="A15" s="191" t="s">
        <v>893</v>
      </c>
      <c r="B15" s="192" t="s">
        <v>894</v>
      </c>
      <c r="C15" s="193">
        <v>291</v>
      </c>
      <c r="D15" s="193">
        <v>0</v>
      </c>
      <c r="E15" s="193">
        <v>389.19</v>
      </c>
      <c r="F15" s="193">
        <v>0</v>
      </c>
      <c r="G15" s="193">
        <v>1186</v>
      </c>
      <c r="H15" s="193">
        <v>1275.19</v>
      </c>
      <c r="I15" s="193">
        <v>19313.5</v>
      </c>
      <c r="J15" s="193">
        <v>19304.5</v>
      </c>
      <c r="K15" s="193">
        <v>300</v>
      </c>
      <c r="L15" s="193">
        <v>0</v>
      </c>
    </row>
    <row r="16" spans="1:12" x14ac:dyDescent="0.25">
      <c r="A16" s="191" t="s">
        <v>895</v>
      </c>
      <c r="B16" s="192" t="s">
        <v>896</v>
      </c>
      <c r="C16" s="193">
        <v>0</v>
      </c>
      <c r="D16" s="193">
        <v>0</v>
      </c>
      <c r="E16" s="193">
        <v>-431757.58</v>
      </c>
      <c r="F16" s="193">
        <v>0</v>
      </c>
      <c r="G16" s="193">
        <v>901837.42</v>
      </c>
      <c r="H16" s="193">
        <v>470079.84</v>
      </c>
      <c r="I16" s="193">
        <v>7212032.1799999997</v>
      </c>
      <c r="J16" s="193">
        <v>7212032.1799999997</v>
      </c>
      <c r="K16" s="193">
        <v>0</v>
      </c>
      <c r="L16" s="193">
        <v>0</v>
      </c>
    </row>
    <row r="17" spans="1:12" x14ac:dyDescent="0.25">
      <c r="A17" s="191" t="s">
        <v>897</v>
      </c>
      <c r="B17" s="192" t="s">
        <v>251</v>
      </c>
      <c r="C17" s="193">
        <v>0</v>
      </c>
      <c r="D17" s="193">
        <v>448254.79</v>
      </c>
      <c r="E17" s="193">
        <v>0</v>
      </c>
      <c r="F17" s="193">
        <v>0</v>
      </c>
      <c r="G17" s="193">
        <v>0</v>
      </c>
      <c r="H17" s="193">
        <v>416602.38</v>
      </c>
      <c r="I17" s="193">
        <v>448254.79</v>
      </c>
      <c r="J17" s="193">
        <v>416602.38</v>
      </c>
      <c r="K17" s="193">
        <v>0</v>
      </c>
      <c r="L17" s="193">
        <v>416602.38</v>
      </c>
    </row>
    <row r="18" spans="1:12" x14ac:dyDescent="0.25">
      <c r="A18" s="191" t="s">
        <v>898</v>
      </c>
      <c r="B18" s="192" t="s">
        <v>580</v>
      </c>
      <c r="C18" s="193">
        <v>0</v>
      </c>
      <c r="D18" s="193">
        <v>43555.14</v>
      </c>
      <c r="E18" s="193">
        <v>0</v>
      </c>
      <c r="F18" s="193">
        <v>43555.14</v>
      </c>
      <c r="G18" s="193">
        <v>0</v>
      </c>
      <c r="H18" s="193">
        <v>0</v>
      </c>
      <c r="I18" s="193">
        <v>16500</v>
      </c>
      <c r="J18" s="193">
        <v>16500</v>
      </c>
      <c r="K18" s="193">
        <v>0</v>
      </c>
      <c r="L18" s="193">
        <v>43555.14</v>
      </c>
    </row>
    <row r="19" spans="1:12" x14ac:dyDescent="0.25">
      <c r="A19" s="191" t="s">
        <v>899</v>
      </c>
      <c r="B19" s="192" t="s">
        <v>582</v>
      </c>
      <c r="C19" s="193">
        <v>0</v>
      </c>
      <c r="D19" s="193">
        <v>0</v>
      </c>
      <c r="E19" s="193">
        <v>0</v>
      </c>
      <c r="F19" s="193">
        <v>0</v>
      </c>
      <c r="G19" s="193">
        <v>390469.71</v>
      </c>
      <c r="H19" s="193">
        <v>390469.71</v>
      </c>
      <c r="I19" s="193">
        <v>7604166.9699999997</v>
      </c>
      <c r="J19" s="193">
        <v>7604166.9699999997</v>
      </c>
      <c r="K19" s="193">
        <v>0</v>
      </c>
      <c r="L19" s="193">
        <v>0</v>
      </c>
    </row>
    <row r="20" spans="1:12" x14ac:dyDescent="0.25">
      <c r="A20" s="191" t="s">
        <v>900</v>
      </c>
      <c r="B20" s="192" t="s">
        <v>592</v>
      </c>
      <c r="C20" s="193">
        <v>306409.46000000002</v>
      </c>
      <c r="D20" s="193">
        <v>0</v>
      </c>
      <c r="E20" s="193">
        <v>383551.45</v>
      </c>
      <c r="F20" s="193">
        <v>0</v>
      </c>
      <c r="G20" s="193">
        <v>166018.42000000001</v>
      </c>
      <c r="H20" s="193">
        <v>261704.17</v>
      </c>
      <c r="I20" s="193">
        <v>2913317.64</v>
      </c>
      <c r="J20" s="193">
        <v>2931861.4</v>
      </c>
      <c r="K20" s="193">
        <v>287865.7</v>
      </c>
      <c r="L20" s="193">
        <v>0</v>
      </c>
    </row>
    <row r="21" spans="1:12" x14ac:dyDescent="0.25">
      <c r="A21" s="191" t="s">
        <v>901</v>
      </c>
      <c r="B21" s="192" t="s">
        <v>596</v>
      </c>
      <c r="C21" s="193">
        <v>3580.73</v>
      </c>
      <c r="D21" s="193">
        <v>1406.2</v>
      </c>
      <c r="E21" s="193">
        <v>49523.68</v>
      </c>
      <c r="F21" s="193">
        <v>25942.34</v>
      </c>
      <c r="G21" s="193">
        <v>-19143.34</v>
      </c>
      <c r="H21" s="193">
        <v>2818.4</v>
      </c>
      <c r="I21" s="193">
        <v>46825.97</v>
      </c>
      <c r="J21" s="193">
        <v>47380.9</v>
      </c>
      <c r="K21" s="193">
        <v>2283.19</v>
      </c>
      <c r="L21" s="193">
        <v>663.59</v>
      </c>
    </row>
    <row r="22" spans="1:12" x14ac:dyDescent="0.25">
      <c r="A22" s="191" t="s">
        <v>902</v>
      </c>
      <c r="B22" s="192" t="s">
        <v>602</v>
      </c>
      <c r="C22" s="193">
        <v>3256.18</v>
      </c>
      <c r="D22" s="193">
        <v>0</v>
      </c>
      <c r="E22" s="193">
        <v>11138.98</v>
      </c>
      <c r="F22" s="193">
        <v>0</v>
      </c>
      <c r="G22" s="193">
        <v>54471.23</v>
      </c>
      <c r="H22" s="193">
        <v>56870.43</v>
      </c>
      <c r="I22" s="193">
        <v>978666.7</v>
      </c>
      <c r="J22" s="193">
        <v>973183.1</v>
      </c>
      <c r="K22" s="193">
        <v>8739.7800000000007</v>
      </c>
      <c r="L22" s="193">
        <v>0</v>
      </c>
    </row>
    <row r="23" spans="1:12" x14ac:dyDescent="0.25">
      <c r="A23" s="191" t="s">
        <v>903</v>
      </c>
      <c r="B23" s="192" t="s">
        <v>608</v>
      </c>
      <c r="C23" s="193">
        <v>0</v>
      </c>
      <c r="D23" s="193">
        <v>510333.88</v>
      </c>
      <c r="E23" s="193">
        <v>0</v>
      </c>
      <c r="F23" s="193">
        <v>528526.25</v>
      </c>
      <c r="G23" s="193">
        <v>414501.78</v>
      </c>
      <c r="H23" s="193">
        <v>251007.57</v>
      </c>
      <c r="I23" s="193">
        <v>5994414.2599999998</v>
      </c>
      <c r="J23" s="193">
        <v>5849112.4199999999</v>
      </c>
      <c r="K23" s="193">
        <v>0</v>
      </c>
      <c r="L23" s="193">
        <v>365032.04</v>
      </c>
    </row>
    <row r="24" spans="1:12" x14ac:dyDescent="0.25">
      <c r="A24" s="191" t="s">
        <v>904</v>
      </c>
      <c r="B24" s="192" t="s">
        <v>612</v>
      </c>
      <c r="C24" s="193">
        <v>0</v>
      </c>
      <c r="D24" s="193">
        <v>27904.98</v>
      </c>
      <c r="E24" s="193">
        <v>0</v>
      </c>
      <c r="F24" s="193">
        <v>1328</v>
      </c>
      <c r="G24" s="193">
        <v>1328</v>
      </c>
      <c r="H24" s="193">
        <v>30028.75</v>
      </c>
      <c r="I24" s="193">
        <v>27904.98</v>
      </c>
      <c r="J24" s="193">
        <v>30028.75</v>
      </c>
      <c r="K24" s="193">
        <v>0</v>
      </c>
      <c r="L24" s="193">
        <v>30028.75</v>
      </c>
    </row>
    <row r="25" spans="1:12" x14ac:dyDescent="0.25">
      <c r="A25" s="191" t="s">
        <v>905</v>
      </c>
      <c r="B25" s="192" t="s">
        <v>614</v>
      </c>
      <c r="C25" s="193">
        <v>41918.480000000003</v>
      </c>
      <c r="D25" s="193">
        <v>76883.94</v>
      </c>
      <c r="E25" s="193">
        <v>41912.639999999999</v>
      </c>
      <c r="F25" s="193">
        <v>71949.83</v>
      </c>
      <c r="G25" s="193">
        <v>23019.33</v>
      </c>
      <c r="H25" s="193">
        <v>35971.15</v>
      </c>
      <c r="I25" s="193">
        <v>424204.54</v>
      </c>
      <c r="J25" s="193">
        <v>432228.09</v>
      </c>
      <c r="K25" s="193">
        <v>51559.4</v>
      </c>
      <c r="L25" s="193">
        <v>94548.41</v>
      </c>
    </row>
    <row r="26" spans="1:12" x14ac:dyDescent="0.25">
      <c r="A26" s="191" t="s">
        <v>906</v>
      </c>
      <c r="B26" s="192" t="s">
        <v>907</v>
      </c>
      <c r="C26" s="193">
        <v>0</v>
      </c>
      <c r="D26" s="193">
        <v>3570.98</v>
      </c>
      <c r="E26" s="193">
        <v>0</v>
      </c>
      <c r="F26" s="193">
        <v>0</v>
      </c>
      <c r="G26" s="193">
        <v>0</v>
      </c>
      <c r="H26" s="193">
        <v>1655.85</v>
      </c>
      <c r="I26" s="193">
        <v>3570.98</v>
      </c>
      <c r="J26" s="193">
        <v>1655.85</v>
      </c>
      <c r="K26" s="193">
        <v>0</v>
      </c>
      <c r="L26" s="193">
        <v>1655.85</v>
      </c>
    </row>
    <row r="27" spans="1:12" x14ac:dyDescent="0.25">
      <c r="A27" s="191" t="s">
        <v>908</v>
      </c>
      <c r="B27" s="192" t="s">
        <v>622</v>
      </c>
      <c r="C27" s="193">
        <v>0</v>
      </c>
      <c r="D27" s="193">
        <v>20823.52</v>
      </c>
      <c r="E27" s="193">
        <v>0</v>
      </c>
      <c r="F27" s="193">
        <v>26059.79</v>
      </c>
      <c r="G27" s="193">
        <v>60880.86</v>
      </c>
      <c r="H27" s="193">
        <v>59559.31</v>
      </c>
      <c r="I27" s="193">
        <v>679724.01</v>
      </c>
      <c r="J27" s="193">
        <v>683638.73</v>
      </c>
      <c r="K27" s="193">
        <v>0</v>
      </c>
      <c r="L27" s="193">
        <v>24738.240000000002</v>
      </c>
    </row>
    <row r="28" spans="1:12" x14ac:dyDescent="0.25">
      <c r="A28" s="191" t="s">
        <v>909</v>
      </c>
      <c r="B28" s="192" t="s">
        <v>626</v>
      </c>
      <c r="C28" s="193">
        <v>3366</v>
      </c>
      <c r="D28" s="193">
        <v>0</v>
      </c>
      <c r="E28" s="193">
        <v>3366</v>
      </c>
      <c r="F28" s="193">
        <v>0</v>
      </c>
      <c r="G28" s="193">
        <v>599.85</v>
      </c>
      <c r="H28" s="193">
        <v>599.85</v>
      </c>
      <c r="I28" s="193">
        <v>8417.86</v>
      </c>
      <c r="J28" s="193">
        <v>8417.86</v>
      </c>
      <c r="K28" s="193">
        <v>3366</v>
      </c>
      <c r="L28" s="193">
        <v>0</v>
      </c>
    </row>
    <row r="29" spans="1:12" x14ac:dyDescent="0.25">
      <c r="A29" s="191" t="s">
        <v>910</v>
      </c>
      <c r="B29" s="192" t="s">
        <v>911</v>
      </c>
      <c r="C29" s="193">
        <v>0</v>
      </c>
      <c r="D29" s="193">
        <v>13135.1</v>
      </c>
      <c r="E29" s="193">
        <v>0</v>
      </c>
      <c r="F29" s="193">
        <v>16419</v>
      </c>
      <c r="G29" s="193">
        <v>16615.509999999998</v>
      </c>
      <c r="H29" s="193">
        <v>17667.650000000001</v>
      </c>
      <c r="I29" s="193">
        <v>193339.58</v>
      </c>
      <c r="J29" s="193">
        <v>197675.62</v>
      </c>
      <c r="K29" s="193">
        <v>0</v>
      </c>
      <c r="L29" s="193">
        <v>17471.14</v>
      </c>
    </row>
    <row r="30" spans="1:12" x14ac:dyDescent="0.25">
      <c r="A30" s="191" t="s">
        <v>912</v>
      </c>
      <c r="B30" s="192" t="s">
        <v>633</v>
      </c>
      <c r="C30" s="193">
        <v>19758.48</v>
      </c>
      <c r="D30" s="193">
        <v>13398.34</v>
      </c>
      <c r="E30" s="193">
        <v>12164.28</v>
      </c>
      <c r="F30" s="193">
        <v>0</v>
      </c>
      <c r="G30" s="193">
        <v>4054.76</v>
      </c>
      <c r="H30" s="193">
        <v>20420.490000000002</v>
      </c>
      <c r="I30" s="193">
        <v>29617.38</v>
      </c>
      <c r="J30" s="193">
        <v>40178.97</v>
      </c>
      <c r="K30" s="193">
        <v>16219.04</v>
      </c>
      <c r="L30" s="193">
        <v>20420.490000000002</v>
      </c>
    </row>
    <row r="31" spans="1:12" x14ac:dyDescent="0.25">
      <c r="A31" s="191" t="s">
        <v>913</v>
      </c>
      <c r="B31" s="192" t="s">
        <v>914</v>
      </c>
      <c r="C31" s="193">
        <v>0</v>
      </c>
      <c r="D31" s="193">
        <v>2082.16</v>
      </c>
      <c r="E31" s="193">
        <v>0</v>
      </c>
      <c r="F31" s="193">
        <v>2268.92</v>
      </c>
      <c r="G31" s="193">
        <v>2868.4</v>
      </c>
      <c r="H31" s="193">
        <v>3206.56</v>
      </c>
      <c r="I31" s="193">
        <v>30204.880000000001</v>
      </c>
      <c r="J31" s="193">
        <v>30729.8</v>
      </c>
      <c r="K31" s="193">
        <v>0</v>
      </c>
      <c r="L31" s="193">
        <v>2607.08</v>
      </c>
    </row>
    <row r="32" spans="1:12" x14ac:dyDescent="0.25">
      <c r="A32" s="191" t="s">
        <v>915</v>
      </c>
      <c r="B32" s="192" t="s">
        <v>916</v>
      </c>
      <c r="C32" s="193">
        <v>0</v>
      </c>
      <c r="D32" s="193">
        <v>24277.49</v>
      </c>
      <c r="E32" s="193">
        <v>-4402.83</v>
      </c>
      <c r="F32" s="193">
        <v>27754.83</v>
      </c>
      <c r="G32" s="193">
        <v>135490.03</v>
      </c>
      <c r="H32" s="193">
        <v>122078</v>
      </c>
      <c r="I32" s="193">
        <v>2525170.0299999998</v>
      </c>
      <c r="J32" s="193">
        <v>2519638.17</v>
      </c>
      <c r="K32" s="193">
        <v>0</v>
      </c>
      <c r="L32" s="193">
        <v>18745.63</v>
      </c>
    </row>
    <row r="33" spans="1:12" x14ac:dyDescent="0.25">
      <c r="A33" s="191" t="s">
        <v>917</v>
      </c>
      <c r="B33" s="192" t="s">
        <v>918</v>
      </c>
      <c r="C33" s="193">
        <v>0</v>
      </c>
      <c r="D33" s="193">
        <v>4556.72</v>
      </c>
      <c r="E33" s="193">
        <v>0</v>
      </c>
      <c r="F33" s="193">
        <v>4717.03</v>
      </c>
      <c r="G33" s="193">
        <v>916</v>
      </c>
      <c r="H33" s="193">
        <v>0</v>
      </c>
      <c r="I33" s="193">
        <v>18350.46</v>
      </c>
      <c r="J33" s="193">
        <v>17594.77</v>
      </c>
      <c r="K33" s="193">
        <v>0</v>
      </c>
      <c r="L33" s="193">
        <v>3801.03</v>
      </c>
    </row>
    <row r="34" spans="1:12" x14ac:dyDescent="0.25">
      <c r="A34" s="191" t="s">
        <v>919</v>
      </c>
      <c r="B34" s="192" t="s">
        <v>663</v>
      </c>
      <c r="C34" s="193">
        <v>0</v>
      </c>
      <c r="D34" s="193">
        <v>0</v>
      </c>
      <c r="E34" s="193">
        <v>95.19</v>
      </c>
      <c r="F34" s="193">
        <v>0</v>
      </c>
      <c r="G34" s="193">
        <v>2477.88</v>
      </c>
      <c r="H34" s="193">
        <v>2573.0700000000002</v>
      </c>
      <c r="I34" s="193">
        <v>5216.1899999999996</v>
      </c>
      <c r="J34" s="193">
        <v>5216.1899999999996</v>
      </c>
      <c r="K34" s="193">
        <v>0</v>
      </c>
      <c r="L34" s="193">
        <v>0</v>
      </c>
    </row>
    <row r="35" spans="1:12" x14ac:dyDescent="0.25">
      <c r="A35" s="191" t="s">
        <v>920</v>
      </c>
      <c r="B35" s="192" t="s">
        <v>921</v>
      </c>
      <c r="C35" s="193">
        <v>0</v>
      </c>
      <c r="D35" s="193">
        <v>29339.19</v>
      </c>
      <c r="E35" s="193">
        <v>0</v>
      </c>
      <c r="F35" s="193">
        <v>30704.15</v>
      </c>
      <c r="G35" s="193">
        <v>14000</v>
      </c>
      <c r="H35" s="193">
        <v>14000</v>
      </c>
      <c r="I35" s="193">
        <v>23635.040000000001</v>
      </c>
      <c r="J35" s="193">
        <v>25000</v>
      </c>
      <c r="K35" s="193">
        <v>0</v>
      </c>
      <c r="L35" s="193">
        <v>30704.15</v>
      </c>
    </row>
    <row r="36" spans="1:12" x14ac:dyDescent="0.25">
      <c r="A36" s="191" t="s">
        <v>922</v>
      </c>
      <c r="B36" s="192" t="s">
        <v>923</v>
      </c>
      <c r="C36" s="193">
        <v>0</v>
      </c>
      <c r="D36" s="193">
        <v>1088.7</v>
      </c>
      <c r="E36" s="193">
        <v>0</v>
      </c>
      <c r="F36" s="193">
        <v>0</v>
      </c>
      <c r="G36" s="193">
        <v>3607.2</v>
      </c>
      <c r="H36" s="193">
        <v>6100.3</v>
      </c>
      <c r="I36" s="193">
        <v>36766.269999999997</v>
      </c>
      <c r="J36" s="193">
        <v>38170.67</v>
      </c>
      <c r="K36" s="193">
        <v>0</v>
      </c>
      <c r="L36" s="193">
        <v>2493.1</v>
      </c>
    </row>
    <row r="37" spans="1:12" x14ac:dyDescent="0.25">
      <c r="A37" s="191" t="s">
        <v>924</v>
      </c>
      <c r="B37" s="192" t="s">
        <v>128</v>
      </c>
      <c r="C37" s="193">
        <v>57146.53</v>
      </c>
      <c r="D37" s="193">
        <v>0</v>
      </c>
      <c r="E37" s="193">
        <v>413.58</v>
      </c>
      <c r="F37" s="193">
        <v>0</v>
      </c>
      <c r="G37" s="193">
        <v>2570.12</v>
      </c>
      <c r="H37" s="193">
        <v>0.57999999999999996</v>
      </c>
      <c r="I37" s="193">
        <v>-48022.47</v>
      </c>
      <c r="J37" s="193">
        <v>6140.94</v>
      </c>
      <c r="K37" s="193">
        <v>2983.12</v>
      </c>
      <c r="L37" s="193">
        <v>0</v>
      </c>
    </row>
    <row r="38" spans="1:12" x14ac:dyDescent="0.25">
      <c r="A38" s="191" t="s">
        <v>925</v>
      </c>
      <c r="B38" s="192" t="s">
        <v>670</v>
      </c>
      <c r="C38" s="193">
        <v>0</v>
      </c>
      <c r="D38" s="193">
        <v>100</v>
      </c>
      <c r="E38" s="193">
        <v>0</v>
      </c>
      <c r="F38" s="193">
        <v>130</v>
      </c>
      <c r="G38" s="193">
        <v>0</v>
      </c>
      <c r="H38" s="193">
        <v>0</v>
      </c>
      <c r="I38" s="193">
        <v>673.76</v>
      </c>
      <c r="J38" s="193">
        <v>703.76</v>
      </c>
      <c r="K38" s="193">
        <v>0</v>
      </c>
      <c r="L38" s="193">
        <v>130</v>
      </c>
    </row>
    <row r="39" spans="1:12" x14ac:dyDescent="0.25">
      <c r="A39" s="191" t="s">
        <v>926</v>
      </c>
      <c r="B39" s="192" t="s">
        <v>674</v>
      </c>
      <c r="C39" s="193">
        <v>4930.22</v>
      </c>
      <c r="D39" s="193">
        <v>0</v>
      </c>
      <c r="E39" s="193">
        <v>3585.24</v>
      </c>
      <c r="F39" s="193">
        <v>0</v>
      </c>
      <c r="G39" s="193">
        <v>875.17</v>
      </c>
      <c r="H39" s="193">
        <v>0</v>
      </c>
      <c r="I39" s="193">
        <v>4447.28</v>
      </c>
      <c r="J39" s="193">
        <v>4917.09</v>
      </c>
      <c r="K39" s="193">
        <v>4460.41</v>
      </c>
      <c r="L39" s="193">
        <v>0</v>
      </c>
    </row>
    <row r="40" spans="1:12" x14ac:dyDescent="0.25">
      <c r="A40" s="191" t="s">
        <v>927</v>
      </c>
      <c r="B40" s="192" t="s">
        <v>678</v>
      </c>
      <c r="C40" s="193">
        <v>0</v>
      </c>
      <c r="D40" s="193">
        <v>3551.75</v>
      </c>
      <c r="E40" s="193">
        <v>0</v>
      </c>
      <c r="F40" s="193">
        <v>3551.75</v>
      </c>
      <c r="G40" s="193">
        <v>0</v>
      </c>
      <c r="H40" s="193">
        <v>0</v>
      </c>
      <c r="I40" s="193">
        <v>0</v>
      </c>
      <c r="J40" s="193">
        <v>0</v>
      </c>
      <c r="K40" s="193">
        <v>0</v>
      </c>
      <c r="L40" s="193">
        <v>3551.75</v>
      </c>
    </row>
    <row r="41" spans="1:12" x14ac:dyDescent="0.25">
      <c r="A41" s="191" t="s">
        <v>928</v>
      </c>
      <c r="B41" s="192" t="s">
        <v>680</v>
      </c>
      <c r="C41" s="193">
        <v>0</v>
      </c>
      <c r="D41" s="193">
        <v>77542.320000000007</v>
      </c>
      <c r="E41" s="193">
        <v>0</v>
      </c>
      <c r="F41" s="193">
        <v>76807.61</v>
      </c>
      <c r="G41" s="193">
        <v>0</v>
      </c>
      <c r="H41" s="193">
        <v>22914.85</v>
      </c>
      <c r="I41" s="193">
        <v>734.71</v>
      </c>
      <c r="J41" s="193">
        <v>22914.85</v>
      </c>
      <c r="K41" s="193">
        <v>0</v>
      </c>
      <c r="L41" s="193">
        <v>99722.46</v>
      </c>
    </row>
    <row r="42" spans="1:12" x14ac:dyDescent="0.25">
      <c r="A42" s="191" t="s">
        <v>929</v>
      </c>
      <c r="B42" s="192" t="s">
        <v>930</v>
      </c>
      <c r="C42" s="193">
        <v>0</v>
      </c>
      <c r="D42" s="193">
        <v>0</v>
      </c>
      <c r="E42" s="193">
        <v>-516.01</v>
      </c>
      <c r="F42" s="193">
        <v>0</v>
      </c>
      <c r="G42" s="193">
        <v>13974.79</v>
      </c>
      <c r="H42" s="193">
        <v>13458.78</v>
      </c>
      <c r="I42" s="193">
        <v>453392.24</v>
      </c>
      <c r="J42" s="193">
        <v>453392.24</v>
      </c>
      <c r="K42" s="193">
        <v>0</v>
      </c>
      <c r="L42" s="193">
        <v>0</v>
      </c>
    </row>
    <row r="43" spans="1:12" x14ac:dyDescent="0.25">
      <c r="A43" s="191" t="s">
        <v>931</v>
      </c>
      <c r="B43" s="192" t="s">
        <v>393</v>
      </c>
      <c r="C43" s="193">
        <v>0</v>
      </c>
      <c r="D43" s="193">
        <v>102902</v>
      </c>
      <c r="E43" s="193">
        <v>0</v>
      </c>
      <c r="F43" s="193">
        <v>102902</v>
      </c>
      <c r="G43" s="193">
        <v>0</v>
      </c>
      <c r="H43" s="193">
        <v>0</v>
      </c>
      <c r="I43" s="193">
        <v>0</v>
      </c>
      <c r="J43" s="193">
        <v>0</v>
      </c>
      <c r="K43" s="193">
        <v>0</v>
      </c>
      <c r="L43" s="193">
        <v>102902</v>
      </c>
    </row>
    <row r="44" spans="1:12" x14ac:dyDescent="0.25">
      <c r="A44" s="191" t="s">
        <v>932</v>
      </c>
      <c r="B44" s="192" t="s">
        <v>399</v>
      </c>
      <c r="C44" s="193">
        <v>0</v>
      </c>
      <c r="D44" s="193">
        <v>15524.4</v>
      </c>
      <c r="E44" s="193">
        <v>0</v>
      </c>
      <c r="F44" s="193">
        <v>15524.4</v>
      </c>
      <c r="G44" s="193">
        <v>0</v>
      </c>
      <c r="H44" s="193">
        <v>0</v>
      </c>
      <c r="I44" s="193">
        <v>0</v>
      </c>
      <c r="J44" s="193">
        <v>0</v>
      </c>
      <c r="K44" s="193">
        <v>0</v>
      </c>
      <c r="L44" s="193">
        <v>15524.4</v>
      </c>
    </row>
    <row r="45" spans="1:12" x14ac:dyDescent="0.25">
      <c r="A45" s="191" t="s">
        <v>933</v>
      </c>
      <c r="B45" s="192" t="s">
        <v>402</v>
      </c>
      <c r="C45" s="193">
        <v>0</v>
      </c>
      <c r="D45" s="193">
        <v>787255.31</v>
      </c>
      <c r="E45" s="193">
        <v>0</v>
      </c>
      <c r="F45" s="193">
        <v>851784.08</v>
      </c>
      <c r="G45" s="193">
        <v>0</v>
      </c>
      <c r="H45" s="193">
        <v>0</v>
      </c>
      <c r="I45" s="193">
        <v>0</v>
      </c>
      <c r="J45" s="193">
        <v>64528.77</v>
      </c>
      <c r="K45" s="193">
        <v>0</v>
      </c>
      <c r="L45" s="193">
        <v>851784.08</v>
      </c>
    </row>
    <row r="46" spans="1:12" x14ac:dyDescent="0.25">
      <c r="A46" s="191" t="s">
        <v>934</v>
      </c>
      <c r="B46" s="192" t="s">
        <v>935</v>
      </c>
      <c r="C46" s="193">
        <v>0</v>
      </c>
      <c r="D46" s="193">
        <v>64528.77</v>
      </c>
      <c r="E46" s="193">
        <v>0</v>
      </c>
      <c r="F46" s="193">
        <v>0</v>
      </c>
      <c r="G46" s="193">
        <v>0</v>
      </c>
      <c r="H46" s="193">
        <v>0</v>
      </c>
      <c r="I46" s="193">
        <v>64528.77</v>
      </c>
      <c r="J46" s="193">
        <v>0</v>
      </c>
      <c r="K46" s="193">
        <v>0</v>
      </c>
      <c r="L46" s="193">
        <v>0</v>
      </c>
    </row>
    <row r="47" spans="1:12" x14ac:dyDescent="0.25">
      <c r="A47" s="191" t="s">
        <v>936</v>
      </c>
      <c r="B47" s="192" t="s">
        <v>691</v>
      </c>
      <c r="C47" s="193">
        <v>0</v>
      </c>
      <c r="D47" s="193">
        <v>565790.56000000006</v>
      </c>
      <c r="E47" s="193">
        <v>0</v>
      </c>
      <c r="F47" s="193">
        <v>504813.38</v>
      </c>
      <c r="G47" s="193">
        <v>5543.38</v>
      </c>
      <c r="H47" s="193">
        <v>0</v>
      </c>
      <c r="I47" s="193">
        <v>66520.56</v>
      </c>
      <c r="J47" s="193">
        <v>0</v>
      </c>
      <c r="K47" s="193">
        <v>0</v>
      </c>
      <c r="L47" s="193">
        <v>499270</v>
      </c>
    </row>
    <row r="48" spans="1:12" x14ac:dyDescent="0.25">
      <c r="A48" s="191" t="s">
        <v>937</v>
      </c>
      <c r="B48" s="192" t="s">
        <v>938</v>
      </c>
      <c r="C48" s="193">
        <v>0</v>
      </c>
      <c r="D48" s="193">
        <v>5351.21</v>
      </c>
      <c r="E48" s="193">
        <v>0</v>
      </c>
      <c r="F48" s="193">
        <v>5928.24</v>
      </c>
      <c r="G48" s="193">
        <v>48.69</v>
      </c>
      <c r="H48" s="193">
        <v>168.19</v>
      </c>
      <c r="I48" s="193">
        <v>1386.51</v>
      </c>
      <c r="J48" s="193">
        <v>2083.04</v>
      </c>
      <c r="K48" s="193">
        <v>0</v>
      </c>
      <c r="L48" s="193">
        <v>6047.74</v>
      </c>
    </row>
    <row r="49" spans="1:12" x14ac:dyDescent="0.25">
      <c r="A49" s="191" t="s">
        <v>939</v>
      </c>
      <c r="B49" s="192" t="s">
        <v>940</v>
      </c>
      <c r="C49" s="193">
        <v>0</v>
      </c>
      <c r="D49" s="193">
        <v>78126.97</v>
      </c>
      <c r="E49" s="193">
        <v>0</v>
      </c>
      <c r="F49" s="193">
        <v>49241.59</v>
      </c>
      <c r="G49" s="193">
        <v>39672.370000000003</v>
      </c>
      <c r="H49" s="193">
        <v>36980.46</v>
      </c>
      <c r="I49" s="193">
        <v>110253.92</v>
      </c>
      <c r="J49" s="193">
        <v>78676.63</v>
      </c>
      <c r="K49" s="193">
        <v>0</v>
      </c>
      <c r="L49" s="193">
        <v>46549.68</v>
      </c>
    </row>
    <row r="50" spans="1:12" x14ac:dyDescent="0.25">
      <c r="A50" s="191" t="s">
        <v>941</v>
      </c>
      <c r="B50" s="192" t="s">
        <v>942</v>
      </c>
      <c r="C50" s="193">
        <v>0</v>
      </c>
      <c r="D50" s="193">
        <v>23988.61</v>
      </c>
      <c r="E50" s="193">
        <v>0</v>
      </c>
      <c r="F50" s="193">
        <v>23988.61</v>
      </c>
      <c r="G50" s="193">
        <v>0</v>
      </c>
      <c r="H50" s="193">
        <v>3266.92</v>
      </c>
      <c r="I50" s="193">
        <v>0</v>
      </c>
      <c r="J50" s="193">
        <v>3266.92</v>
      </c>
      <c r="K50" s="193">
        <v>0</v>
      </c>
      <c r="L50" s="193">
        <v>27255.53</v>
      </c>
    </row>
    <row r="51" spans="1:12" x14ac:dyDescent="0.25">
      <c r="A51" s="191" t="s">
        <v>943</v>
      </c>
      <c r="B51" s="192" t="s">
        <v>944</v>
      </c>
      <c r="C51" s="193">
        <v>0</v>
      </c>
      <c r="D51" s="193">
        <v>0</v>
      </c>
      <c r="E51" s="193">
        <v>113156.48</v>
      </c>
      <c r="F51" s="193">
        <v>0</v>
      </c>
      <c r="G51" s="193">
        <v>25236.12</v>
      </c>
      <c r="H51" s="193">
        <v>0</v>
      </c>
      <c r="I51" s="193">
        <v>138392.6</v>
      </c>
      <c r="J51" s="193">
        <v>0</v>
      </c>
      <c r="K51" s="193">
        <v>138392.6</v>
      </c>
      <c r="L51" s="193">
        <v>0</v>
      </c>
    </row>
    <row r="52" spans="1:12" x14ac:dyDescent="0.25">
      <c r="A52" s="191" t="s">
        <v>945</v>
      </c>
      <c r="B52" s="192" t="s">
        <v>946</v>
      </c>
      <c r="C52" s="193">
        <v>0</v>
      </c>
      <c r="D52" s="193">
        <v>0</v>
      </c>
      <c r="E52" s="193">
        <v>1293.4100000000001</v>
      </c>
      <c r="F52" s="193">
        <v>0</v>
      </c>
      <c r="G52" s="193">
        <v>22112.34</v>
      </c>
      <c r="H52" s="193">
        <v>0</v>
      </c>
      <c r="I52" s="193">
        <v>23731.75</v>
      </c>
      <c r="J52" s="193">
        <v>326</v>
      </c>
      <c r="K52" s="193">
        <v>23405.75</v>
      </c>
      <c r="L52" s="193">
        <v>0</v>
      </c>
    </row>
    <row r="53" spans="1:12" x14ac:dyDescent="0.25">
      <c r="A53" s="191" t="s">
        <v>947</v>
      </c>
      <c r="B53" s="192" t="s">
        <v>948</v>
      </c>
      <c r="C53" s="193">
        <v>0</v>
      </c>
      <c r="D53" s="193">
        <v>0</v>
      </c>
      <c r="E53" s="193">
        <v>4039282.75</v>
      </c>
      <c r="F53" s="193">
        <v>0</v>
      </c>
      <c r="G53" s="193">
        <v>203979.1</v>
      </c>
      <c r="H53" s="193">
        <v>1216.99</v>
      </c>
      <c r="I53" s="193">
        <v>4243261.8499999996</v>
      </c>
      <c r="J53" s="193">
        <v>1216.99</v>
      </c>
      <c r="K53" s="193">
        <v>4242044.8600000003</v>
      </c>
      <c r="L53" s="193">
        <v>0</v>
      </c>
    </row>
    <row r="54" spans="1:12" x14ac:dyDescent="0.25">
      <c r="A54" s="191" t="s">
        <v>949</v>
      </c>
      <c r="B54" s="192" t="s">
        <v>725</v>
      </c>
      <c r="C54" s="193">
        <v>0</v>
      </c>
      <c r="D54" s="193">
        <v>0</v>
      </c>
      <c r="E54" s="193">
        <v>33763.33</v>
      </c>
      <c r="F54" s="193">
        <v>0</v>
      </c>
      <c r="G54" s="193">
        <v>14978.37</v>
      </c>
      <c r="H54" s="193">
        <v>0</v>
      </c>
      <c r="I54" s="193">
        <v>48741.7</v>
      </c>
      <c r="J54" s="193">
        <v>0</v>
      </c>
      <c r="K54" s="193">
        <v>48741.7</v>
      </c>
      <c r="L54" s="193">
        <v>0</v>
      </c>
    </row>
    <row r="55" spans="1:12" x14ac:dyDescent="0.25">
      <c r="A55" s="191" t="s">
        <v>950</v>
      </c>
      <c r="B55" s="192" t="s">
        <v>731</v>
      </c>
      <c r="C55" s="193">
        <v>0</v>
      </c>
      <c r="D55" s="193">
        <v>0</v>
      </c>
      <c r="E55" s="193">
        <v>4344.58</v>
      </c>
      <c r="F55" s="193">
        <v>0</v>
      </c>
      <c r="G55" s="193">
        <v>313.48</v>
      </c>
      <c r="H55" s="193">
        <v>0</v>
      </c>
      <c r="I55" s="193">
        <v>4658.0600000000004</v>
      </c>
      <c r="J55" s="193">
        <v>0</v>
      </c>
      <c r="K55" s="193">
        <v>4658.0600000000004</v>
      </c>
      <c r="L55" s="193">
        <v>0</v>
      </c>
    </row>
    <row r="56" spans="1:12" x14ac:dyDescent="0.25">
      <c r="A56" s="191" t="s">
        <v>951</v>
      </c>
      <c r="B56" s="192" t="s">
        <v>733</v>
      </c>
      <c r="C56" s="193">
        <v>0</v>
      </c>
      <c r="D56" s="193">
        <v>0</v>
      </c>
      <c r="E56" s="193">
        <v>1685.75</v>
      </c>
      <c r="F56" s="193">
        <v>0</v>
      </c>
      <c r="G56" s="193">
        <v>917.62</v>
      </c>
      <c r="H56" s="193">
        <v>0</v>
      </c>
      <c r="I56" s="193">
        <v>2603.37</v>
      </c>
      <c r="J56" s="193">
        <v>0</v>
      </c>
      <c r="K56" s="193">
        <v>2603.37</v>
      </c>
      <c r="L56" s="193">
        <v>0</v>
      </c>
    </row>
    <row r="57" spans="1:12" x14ac:dyDescent="0.25">
      <c r="A57" s="191" t="s">
        <v>952</v>
      </c>
      <c r="B57" s="192" t="s">
        <v>735</v>
      </c>
      <c r="C57" s="193">
        <v>0</v>
      </c>
      <c r="D57" s="193">
        <v>0</v>
      </c>
      <c r="E57" s="193">
        <v>217272.22</v>
      </c>
      <c r="F57" s="193">
        <v>0</v>
      </c>
      <c r="G57" s="193">
        <v>22202.66</v>
      </c>
      <c r="H57" s="193">
        <v>0</v>
      </c>
      <c r="I57" s="193">
        <v>239574.38</v>
      </c>
      <c r="J57" s="193">
        <v>99.5</v>
      </c>
      <c r="K57" s="193">
        <v>239474.88</v>
      </c>
      <c r="L57" s="193">
        <v>0</v>
      </c>
    </row>
    <row r="58" spans="1:12" x14ac:dyDescent="0.25">
      <c r="A58" s="191" t="s">
        <v>953</v>
      </c>
      <c r="B58" s="192" t="s">
        <v>767</v>
      </c>
      <c r="C58" s="193">
        <v>0</v>
      </c>
      <c r="D58" s="193">
        <v>0</v>
      </c>
      <c r="E58" s="193">
        <v>333710.31</v>
      </c>
      <c r="F58" s="193">
        <v>0</v>
      </c>
      <c r="G58" s="193">
        <v>54898.83</v>
      </c>
      <c r="H58" s="193">
        <v>0</v>
      </c>
      <c r="I58" s="193">
        <v>407962.98</v>
      </c>
      <c r="J58" s="193">
        <v>19353.84</v>
      </c>
      <c r="K58" s="193">
        <v>388609.14</v>
      </c>
      <c r="L58" s="193">
        <v>0</v>
      </c>
    </row>
    <row r="59" spans="1:12" x14ac:dyDescent="0.25">
      <c r="A59" s="191" t="s">
        <v>954</v>
      </c>
      <c r="B59" s="192" t="s">
        <v>769</v>
      </c>
      <c r="C59" s="193">
        <v>0</v>
      </c>
      <c r="D59" s="193">
        <v>0</v>
      </c>
      <c r="E59" s="193">
        <v>11480.1</v>
      </c>
      <c r="F59" s="193">
        <v>0</v>
      </c>
      <c r="G59" s="193">
        <v>1511.41</v>
      </c>
      <c r="H59" s="193">
        <v>0</v>
      </c>
      <c r="I59" s="193">
        <v>12991.51</v>
      </c>
      <c r="J59" s="193">
        <v>0</v>
      </c>
      <c r="K59" s="193">
        <v>12991.51</v>
      </c>
      <c r="L59" s="193">
        <v>0</v>
      </c>
    </row>
    <row r="60" spans="1:12" x14ac:dyDescent="0.25">
      <c r="A60" s="191" t="s">
        <v>955</v>
      </c>
      <c r="B60" s="192" t="s">
        <v>956</v>
      </c>
      <c r="C60" s="193">
        <v>0</v>
      </c>
      <c r="D60" s="193">
        <v>0</v>
      </c>
      <c r="E60" s="193">
        <v>118929.13</v>
      </c>
      <c r="F60" s="193">
        <v>0</v>
      </c>
      <c r="G60" s="193">
        <v>19578.740000000002</v>
      </c>
      <c r="H60" s="193">
        <v>0</v>
      </c>
      <c r="I60" s="193">
        <v>145305.51</v>
      </c>
      <c r="J60" s="193">
        <v>6797.64</v>
      </c>
      <c r="K60" s="193">
        <v>138507.87</v>
      </c>
      <c r="L60" s="193">
        <v>0</v>
      </c>
    </row>
    <row r="61" spans="1:12" x14ac:dyDescent="0.25">
      <c r="A61" s="191" t="s">
        <v>957</v>
      </c>
      <c r="B61" s="192" t="s">
        <v>958</v>
      </c>
      <c r="C61" s="193">
        <v>0</v>
      </c>
      <c r="D61" s="193">
        <v>0</v>
      </c>
      <c r="E61" s="193">
        <v>3782.82</v>
      </c>
      <c r="F61" s="193">
        <v>0</v>
      </c>
      <c r="G61" s="193">
        <v>396.2</v>
      </c>
      <c r="H61" s="193">
        <v>-196.51</v>
      </c>
      <c r="I61" s="193">
        <v>4375.53</v>
      </c>
      <c r="J61" s="193">
        <v>0</v>
      </c>
      <c r="K61" s="193">
        <v>4375.53</v>
      </c>
      <c r="L61" s="193">
        <v>0</v>
      </c>
    </row>
    <row r="62" spans="1:12" x14ac:dyDescent="0.25">
      <c r="A62" s="191" t="s">
        <v>959</v>
      </c>
      <c r="B62" s="192" t="s">
        <v>960</v>
      </c>
      <c r="C62" s="193">
        <v>0</v>
      </c>
      <c r="D62" s="193">
        <v>0</v>
      </c>
      <c r="E62" s="193">
        <v>11940.96</v>
      </c>
      <c r="F62" s="193">
        <v>0</v>
      </c>
      <c r="G62" s="193">
        <v>979.89</v>
      </c>
      <c r="H62" s="193">
        <v>0</v>
      </c>
      <c r="I62" s="193">
        <v>12920.85</v>
      </c>
      <c r="J62" s="193">
        <v>0</v>
      </c>
      <c r="K62" s="193">
        <v>12920.85</v>
      </c>
      <c r="L62" s="193">
        <v>0</v>
      </c>
    </row>
    <row r="63" spans="1:12" x14ac:dyDescent="0.25">
      <c r="A63" s="191" t="s">
        <v>961</v>
      </c>
      <c r="B63" s="192" t="s">
        <v>655</v>
      </c>
      <c r="C63" s="193">
        <v>0</v>
      </c>
      <c r="D63" s="193">
        <v>0</v>
      </c>
      <c r="E63" s="193">
        <v>7465.03</v>
      </c>
      <c r="F63" s="193">
        <v>0</v>
      </c>
      <c r="G63" s="193">
        <v>0</v>
      </c>
      <c r="H63" s="193">
        <v>0</v>
      </c>
      <c r="I63" s="193">
        <v>7465.03</v>
      </c>
      <c r="J63" s="193">
        <v>0</v>
      </c>
      <c r="K63" s="193">
        <v>7465.03</v>
      </c>
      <c r="L63" s="193">
        <v>0</v>
      </c>
    </row>
    <row r="64" spans="1:12" x14ac:dyDescent="0.25">
      <c r="A64" s="191" t="s">
        <v>962</v>
      </c>
      <c r="B64" s="192" t="s">
        <v>963</v>
      </c>
      <c r="C64" s="193">
        <v>0</v>
      </c>
      <c r="D64" s="193">
        <v>0</v>
      </c>
      <c r="E64" s="193">
        <v>9975.99</v>
      </c>
      <c r="F64" s="193">
        <v>0</v>
      </c>
      <c r="G64" s="193">
        <v>0</v>
      </c>
      <c r="H64" s="193">
        <v>0</v>
      </c>
      <c r="I64" s="193">
        <v>9975.99</v>
      </c>
      <c r="J64" s="193">
        <v>0</v>
      </c>
      <c r="K64" s="193">
        <v>9975.99</v>
      </c>
      <c r="L64" s="193">
        <v>0</v>
      </c>
    </row>
    <row r="65" spans="1:12" x14ac:dyDescent="0.25">
      <c r="A65" s="191" t="s">
        <v>964</v>
      </c>
      <c r="B65" s="192" t="s">
        <v>918</v>
      </c>
      <c r="C65" s="193">
        <v>0</v>
      </c>
      <c r="D65" s="193">
        <v>0</v>
      </c>
      <c r="E65" s="193">
        <v>721.2</v>
      </c>
      <c r="F65" s="193">
        <v>0</v>
      </c>
      <c r="G65" s="193">
        <v>0</v>
      </c>
      <c r="H65" s="193">
        <v>0</v>
      </c>
      <c r="I65" s="193">
        <v>721.2</v>
      </c>
      <c r="J65" s="193">
        <v>0</v>
      </c>
      <c r="K65" s="193">
        <v>721.2</v>
      </c>
      <c r="L65" s="193">
        <v>0</v>
      </c>
    </row>
    <row r="66" spans="1:12" x14ac:dyDescent="0.25">
      <c r="A66" s="191" t="s">
        <v>965</v>
      </c>
      <c r="B66" s="192" t="s">
        <v>286</v>
      </c>
      <c r="C66" s="193">
        <v>0</v>
      </c>
      <c r="D66" s="193">
        <v>0</v>
      </c>
      <c r="E66" s="193">
        <v>1282.5</v>
      </c>
      <c r="F66" s="193">
        <v>0</v>
      </c>
      <c r="G66" s="193">
        <v>0</v>
      </c>
      <c r="H66" s="193">
        <v>0</v>
      </c>
      <c r="I66" s="193">
        <v>1282.5</v>
      </c>
      <c r="J66" s="193">
        <v>0</v>
      </c>
      <c r="K66" s="193">
        <v>1282.5</v>
      </c>
      <c r="L66" s="193">
        <v>0</v>
      </c>
    </row>
    <row r="67" spans="1:12" x14ac:dyDescent="0.25">
      <c r="A67" s="191" t="s">
        <v>966</v>
      </c>
      <c r="B67" s="192" t="s">
        <v>967</v>
      </c>
      <c r="C67" s="193">
        <v>0</v>
      </c>
      <c r="D67" s="193">
        <v>0</v>
      </c>
      <c r="E67" s="193">
        <v>1202.6600000000001</v>
      </c>
      <c r="F67" s="193">
        <v>0</v>
      </c>
      <c r="G67" s="193">
        <v>47.59</v>
      </c>
      <c r="H67" s="193">
        <v>31.59</v>
      </c>
      <c r="I67" s="193">
        <v>1250.25</v>
      </c>
      <c r="J67" s="193">
        <v>31.59</v>
      </c>
      <c r="K67" s="193">
        <v>1218.6600000000001</v>
      </c>
      <c r="L67" s="193">
        <v>0</v>
      </c>
    </row>
    <row r="68" spans="1:12" x14ac:dyDescent="0.25">
      <c r="A68" s="191" t="s">
        <v>968</v>
      </c>
      <c r="B68" s="192" t="s">
        <v>969</v>
      </c>
      <c r="C68" s="193">
        <v>0</v>
      </c>
      <c r="D68" s="193">
        <v>0</v>
      </c>
      <c r="E68" s="193">
        <v>84</v>
      </c>
      <c r="F68" s="193">
        <v>0</v>
      </c>
      <c r="G68" s="193">
        <v>0</v>
      </c>
      <c r="H68" s="193">
        <v>0</v>
      </c>
      <c r="I68" s="193">
        <v>84</v>
      </c>
      <c r="J68" s="193">
        <v>0</v>
      </c>
      <c r="K68" s="193">
        <v>84</v>
      </c>
      <c r="L68" s="193">
        <v>0</v>
      </c>
    </row>
    <row r="69" spans="1:12" x14ac:dyDescent="0.25">
      <c r="A69" s="191" t="s">
        <v>970</v>
      </c>
      <c r="B69" s="192" t="s">
        <v>971</v>
      </c>
      <c r="C69" s="193">
        <v>0</v>
      </c>
      <c r="D69" s="193">
        <v>0</v>
      </c>
      <c r="E69" s="193">
        <v>17466.8</v>
      </c>
      <c r="F69" s="193">
        <v>0</v>
      </c>
      <c r="G69" s="193">
        <v>0</v>
      </c>
      <c r="H69" s="193">
        <v>0</v>
      </c>
      <c r="I69" s="193">
        <v>17466.8</v>
      </c>
      <c r="J69" s="193">
        <v>0</v>
      </c>
      <c r="K69" s="193">
        <v>17466.8</v>
      </c>
      <c r="L69" s="193">
        <v>0</v>
      </c>
    </row>
    <row r="70" spans="1:12" x14ac:dyDescent="0.25">
      <c r="A70" s="191" t="s">
        <v>1472</v>
      </c>
      <c r="B70" s="192" t="s">
        <v>1473</v>
      </c>
      <c r="C70" s="193">
        <v>0</v>
      </c>
      <c r="D70" s="193">
        <v>0</v>
      </c>
      <c r="E70" s="193">
        <v>-50.58</v>
      </c>
      <c r="F70" s="193">
        <v>0</v>
      </c>
      <c r="G70" s="193">
        <v>22914.85</v>
      </c>
      <c r="H70" s="193">
        <v>0</v>
      </c>
      <c r="I70" s="193">
        <v>22914.85</v>
      </c>
      <c r="J70" s="193">
        <v>50.58</v>
      </c>
      <c r="K70" s="193">
        <v>22864.27</v>
      </c>
      <c r="L70" s="193">
        <v>0</v>
      </c>
    </row>
    <row r="71" spans="1:12" x14ac:dyDescent="0.25">
      <c r="A71" s="191" t="s">
        <v>972</v>
      </c>
      <c r="B71" s="192" t="s">
        <v>973</v>
      </c>
      <c r="C71" s="193">
        <v>0</v>
      </c>
      <c r="D71" s="193">
        <v>0</v>
      </c>
      <c r="E71" s="193">
        <v>1901.27</v>
      </c>
      <c r="F71" s="193">
        <v>0</v>
      </c>
      <c r="G71" s="193">
        <v>29.78</v>
      </c>
      <c r="H71" s="193">
        <v>0.08</v>
      </c>
      <c r="I71" s="193">
        <v>1932.31</v>
      </c>
      <c r="J71" s="193">
        <v>1.34</v>
      </c>
      <c r="K71" s="193">
        <v>1930.97</v>
      </c>
      <c r="L71" s="193">
        <v>0</v>
      </c>
    </row>
    <row r="72" spans="1:12" x14ac:dyDescent="0.25">
      <c r="A72" s="191" t="s">
        <v>974</v>
      </c>
      <c r="B72" s="192" t="s">
        <v>812</v>
      </c>
      <c r="C72" s="193">
        <v>0</v>
      </c>
      <c r="D72" s="193">
        <v>0</v>
      </c>
      <c r="E72" s="193">
        <v>154444</v>
      </c>
      <c r="F72" s="193">
        <v>0</v>
      </c>
      <c r="G72" s="193">
        <v>14296.33</v>
      </c>
      <c r="H72" s="193">
        <v>0</v>
      </c>
      <c r="I72" s="193">
        <v>168740.33</v>
      </c>
      <c r="J72" s="193">
        <v>0</v>
      </c>
      <c r="K72" s="193">
        <v>168740.33</v>
      </c>
      <c r="L72" s="193">
        <v>0</v>
      </c>
    </row>
    <row r="73" spans="1:12" x14ac:dyDescent="0.25">
      <c r="A73" s="191" t="s">
        <v>975</v>
      </c>
      <c r="B73" s="192" t="s">
        <v>814</v>
      </c>
      <c r="C73" s="193">
        <v>0</v>
      </c>
      <c r="D73" s="193">
        <v>0</v>
      </c>
      <c r="E73" s="193">
        <v>31536.98</v>
      </c>
      <c r="F73" s="193">
        <v>0</v>
      </c>
      <c r="G73" s="193">
        <v>4113.72</v>
      </c>
      <c r="H73" s="193">
        <v>0</v>
      </c>
      <c r="I73" s="193">
        <v>35650.699999999997</v>
      </c>
      <c r="J73" s="193">
        <v>0</v>
      </c>
      <c r="K73" s="193">
        <v>35650.699999999997</v>
      </c>
      <c r="L73" s="193">
        <v>0</v>
      </c>
    </row>
    <row r="74" spans="1:12" x14ac:dyDescent="0.25">
      <c r="A74" s="191" t="s">
        <v>976</v>
      </c>
      <c r="B74" s="192" t="s">
        <v>818</v>
      </c>
      <c r="C74" s="193">
        <v>0</v>
      </c>
      <c r="D74" s="193">
        <v>0</v>
      </c>
      <c r="E74" s="193">
        <v>54.88</v>
      </c>
      <c r="F74" s="193">
        <v>0</v>
      </c>
      <c r="G74" s="193">
        <v>1.08</v>
      </c>
      <c r="H74" s="193">
        <v>0</v>
      </c>
      <c r="I74" s="193">
        <v>55.96</v>
      </c>
      <c r="J74" s="193">
        <v>0</v>
      </c>
      <c r="K74" s="193">
        <v>55.96</v>
      </c>
      <c r="L74" s="193">
        <v>0</v>
      </c>
    </row>
    <row r="75" spans="1:12" x14ac:dyDescent="0.25">
      <c r="A75" s="191" t="s">
        <v>977</v>
      </c>
      <c r="B75" s="192" t="s">
        <v>978</v>
      </c>
      <c r="C75" s="193">
        <v>0</v>
      </c>
      <c r="D75" s="193">
        <v>0</v>
      </c>
      <c r="E75" s="193">
        <v>26095.15</v>
      </c>
      <c r="F75" s="193">
        <v>0</v>
      </c>
      <c r="G75" s="193">
        <v>864.17</v>
      </c>
      <c r="H75" s="193">
        <v>22.9</v>
      </c>
      <c r="I75" s="193">
        <v>26982.22</v>
      </c>
      <c r="J75" s="193">
        <v>45.8</v>
      </c>
      <c r="K75" s="193">
        <v>26936.42</v>
      </c>
      <c r="L75" s="193">
        <v>0</v>
      </c>
    </row>
    <row r="76" spans="1:12" x14ac:dyDescent="0.25">
      <c r="A76" s="191" t="s">
        <v>979</v>
      </c>
      <c r="B76" s="192" t="s">
        <v>980</v>
      </c>
      <c r="C76" s="193">
        <v>0</v>
      </c>
      <c r="D76" s="193">
        <v>0</v>
      </c>
      <c r="E76" s="193">
        <v>0.03</v>
      </c>
      <c r="F76" s="193">
        <v>0</v>
      </c>
      <c r="G76" s="193">
        <v>20420.490000000002</v>
      </c>
      <c r="H76" s="193">
        <v>0</v>
      </c>
      <c r="I76" s="193">
        <v>20420.52</v>
      </c>
      <c r="J76" s="193">
        <v>0</v>
      </c>
      <c r="K76" s="193">
        <v>20420.52</v>
      </c>
      <c r="L76" s="193">
        <v>0</v>
      </c>
    </row>
    <row r="77" spans="1:12" x14ac:dyDescent="0.25">
      <c r="A77" s="191" t="s">
        <v>1474</v>
      </c>
      <c r="B77" s="192" t="s">
        <v>1475</v>
      </c>
      <c r="C77" s="193">
        <v>0</v>
      </c>
      <c r="D77" s="193">
        <v>0</v>
      </c>
      <c r="E77" s="193">
        <v>0</v>
      </c>
      <c r="F77" s="193">
        <v>0</v>
      </c>
      <c r="G77" s="193">
        <v>3266.92</v>
      </c>
      <c r="H77" s="193">
        <v>0</v>
      </c>
      <c r="I77" s="193">
        <v>3266.92</v>
      </c>
      <c r="J77" s="193">
        <v>0</v>
      </c>
      <c r="K77" s="193">
        <v>3266.92</v>
      </c>
      <c r="L77" s="193">
        <v>0</v>
      </c>
    </row>
    <row r="78" spans="1:12" x14ac:dyDescent="0.25">
      <c r="A78" s="191" t="s">
        <v>981</v>
      </c>
      <c r="B78" s="192" t="s">
        <v>982</v>
      </c>
      <c r="C78" s="193">
        <v>0</v>
      </c>
      <c r="D78" s="193">
        <v>0</v>
      </c>
      <c r="E78" s="193">
        <v>0</v>
      </c>
      <c r="F78" s="193">
        <v>94085.56</v>
      </c>
      <c r="G78" s="193">
        <v>0</v>
      </c>
      <c r="H78" s="193">
        <v>11524.81</v>
      </c>
      <c r="I78" s="193">
        <v>0</v>
      </c>
      <c r="J78" s="193">
        <v>105610.37</v>
      </c>
      <c r="K78" s="193">
        <v>0</v>
      </c>
      <c r="L78" s="193">
        <v>105610.37</v>
      </c>
    </row>
    <row r="79" spans="1:12" x14ac:dyDescent="0.25">
      <c r="A79" s="191" t="s">
        <v>983</v>
      </c>
      <c r="B79" s="192" t="s">
        <v>984</v>
      </c>
      <c r="C79" s="193">
        <v>0</v>
      </c>
      <c r="D79" s="193">
        <v>0</v>
      </c>
      <c r="E79" s="193">
        <v>0</v>
      </c>
      <c r="F79" s="193">
        <v>5228536.3099999996</v>
      </c>
      <c r="G79" s="193">
        <v>0</v>
      </c>
      <c r="H79" s="193">
        <v>274883.73</v>
      </c>
      <c r="I79" s="193">
        <v>0</v>
      </c>
      <c r="J79" s="193">
        <v>5503420.04</v>
      </c>
      <c r="K79" s="193">
        <v>0</v>
      </c>
      <c r="L79" s="193">
        <v>5503420.04</v>
      </c>
    </row>
    <row r="80" spans="1:12" x14ac:dyDescent="0.25">
      <c r="A80" s="191" t="s">
        <v>985</v>
      </c>
      <c r="B80" s="192" t="s">
        <v>986</v>
      </c>
      <c r="C80" s="193">
        <v>0</v>
      </c>
      <c r="D80" s="193">
        <v>0</v>
      </c>
      <c r="E80" s="193">
        <v>3846.15</v>
      </c>
      <c r="F80" s="193">
        <v>0</v>
      </c>
      <c r="G80" s="193">
        <v>0</v>
      </c>
      <c r="H80" s="193">
        <v>0</v>
      </c>
      <c r="I80" s="193">
        <v>0</v>
      </c>
      <c r="J80" s="193">
        <v>-3846.15</v>
      </c>
      <c r="K80" s="193">
        <v>3846.15</v>
      </c>
      <c r="L80" s="193">
        <v>0</v>
      </c>
    </row>
    <row r="81" spans="1:12" x14ac:dyDescent="0.25">
      <c r="A81" s="191" t="s">
        <v>987</v>
      </c>
      <c r="B81" s="192" t="s">
        <v>862</v>
      </c>
      <c r="C81" s="193">
        <v>0</v>
      </c>
      <c r="D81" s="193">
        <v>0</v>
      </c>
      <c r="E81" s="193">
        <v>0</v>
      </c>
      <c r="F81" s="193">
        <v>9564.57</v>
      </c>
      <c r="G81" s="193">
        <v>0</v>
      </c>
      <c r="H81" s="193">
        <v>1820.8</v>
      </c>
      <c r="I81" s="193">
        <v>0</v>
      </c>
      <c r="J81" s="193">
        <v>11385.37</v>
      </c>
      <c r="K81" s="193">
        <v>0</v>
      </c>
      <c r="L81" s="193">
        <v>11385.37</v>
      </c>
    </row>
    <row r="82" spans="1:12" x14ac:dyDescent="0.25">
      <c r="A82" s="191" t="s">
        <v>988</v>
      </c>
      <c r="B82" s="192" t="s">
        <v>864</v>
      </c>
      <c r="C82" s="193">
        <v>0</v>
      </c>
      <c r="D82" s="193">
        <v>0</v>
      </c>
      <c r="E82" s="193">
        <v>0</v>
      </c>
      <c r="F82" s="193">
        <v>5240</v>
      </c>
      <c r="G82" s="193">
        <v>0</v>
      </c>
      <c r="H82" s="193">
        <v>0</v>
      </c>
      <c r="I82" s="193">
        <v>0</v>
      </c>
      <c r="J82" s="193">
        <v>5240</v>
      </c>
      <c r="K82" s="193">
        <v>0</v>
      </c>
      <c r="L82" s="193">
        <v>5240</v>
      </c>
    </row>
    <row r="83" spans="1:12" x14ac:dyDescent="0.25">
      <c r="A83" s="191" t="s">
        <v>989</v>
      </c>
      <c r="B83" s="192" t="s">
        <v>990</v>
      </c>
      <c r="C83" s="193">
        <v>0</v>
      </c>
      <c r="D83" s="193">
        <v>0</v>
      </c>
      <c r="E83" s="193">
        <v>0</v>
      </c>
      <c r="F83" s="193">
        <v>11599.81</v>
      </c>
      <c r="G83" s="193">
        <v>0.24</v>
      </c>
      <c r="H83" s="193">
        <v>4105.41</v>
      </c>
      <c r="I83" s="193">
        <v>257.83</v>
      </c>
      <c r="J83" s="193">
        <v>15962.81</v>
      </c>
      <c r="K83" s="193">
        <v>0</v>
      </c>
      <c r="L83" s="193">
        <v>15704.98</v>
      </c>
    </row>
    <row r="84" spans="1:12" x14ac:dyDescent="0.25">
      <c r="A84" s="191" t="s">
        <v>991</v>
      </c>
      <c r="B84" s="192" t="s">
        <v>814</v>
      </c>
      <c r="C84" s="193">
        <v>0</v>
      </c>
      <c r="D84" s="193">
        <v>0</v>
      </c>
      <c r="E84" s="193">
        <v>0</v>
      </c>
      <c r="F84" s="193">
        <v>53.23</v>
      </c>
      <c r="G84" s="193">
        <v>0</v>
      </c>
      <c r="H84" s="193">
        <v>0</v>
      </c>
      <c r="I84" s="193">
        <v>0</v>
      </c>
      <c r="J84" s="193">
        <v>53.23</v>
      </c>
      <c r="K84" s="193">
        <v>0</v>
      </c>
      <c r="L84" s="193">
        <v>53.23</v>
      </c>
    </row>
    <row r="85" spans="1:12" x14ac:dyDescent="0.25">
      <c r="A85" s="191" t="s">
        <v>992</v>
      </c>
      <c r="B85" s="192" t="s">
        <v>870</v>
      </c>
      <c r="C85" s="193">
        <v>0</v>
      </c>
      <c r="D85" s="193">
        <v>0</v>
      </c>
      <c r="E85" s="193">
        <v>0</v>
      </c>
      <c r="F85" s="193">
        <v>7.54</v>
      </c>
      <c r="G85" s="193">
        <v>0</v>
      </c>
      <c r="H85" s="193">
        <v>0</v>
      </c>
      <c r="I85" s="193">
        <v>0</v>
      </c>
      <c r="J85" s="193">
        <v>7.54</v>
      </c>
      <c r="K85" s="193">
        <v>0</v>
      </c>
      <c r="L85" s="193">
        <v>7.54</v>
      </c>
    </row>
    <row r="86" spans="1:12" x14ac:dyDescent="0.25">
      <c r="A86" s="191" t="s">
        <v>993</v>
      </c>
      <c r="B86" s="192" t="s">
        <v>872</v>
      </c>
      <c r="C86" s="193">
        <v>0</v>
      </c>
      <c r="D86" s="193">
        <v>0</v>
      </c>
      <c r="E86" s="193">
        <v>0</v>
      </c>
      <c r="F86" s="193">
        <v>7.7</v>
      </c>
      <c r="G86" s="193">
        <v>0</v>
      </c>
      <c r="H86" s="193">
        <v>252.26</v>
      </c>
      <c r="I86" s="193">
        <v>0</v>
      </c>
      <c r="J86" s="193">
        <v>259.95999999999998</v>
      </c>
      <c r="K86" s="193">
        <v>0</v>
      </c>
      <c r="L86" s="193">
        <v>259.95999999999998</v>
      </c>
    </row>
    <row r="87" spans="1:12" x14ac:dyDescent="0.25">
      <c r="A87" s="191" t="s">
        <v>994</v>
      </c>
      <c r="B87" s="192" t="s">
        <v>874</v>
      </c>
      <c r="C87" s="193">
        <v>0</v>
      </c>
      <c r="D87" s="193">
        <v>0</v>
      </c>
      <c r="E87" s="193">
        <v>0</v>
      </c>
      <c r="F87" s="193">
        <v>16087.88</v>
      </c>
      <c r="G87" s="193">
        <v>0</v>
      </c>
      <c r="H87" s="193">
        <v>-16087.88</v>
      </c>
      <c r="I87" s="193">
        <v>0</v>
      </c>
      <c r="J87" s="193">
        <v>0</v>
      </c>
      <c r="K87" s="193">
        <v>0</v>
      </c>
      <c r="L87" s="193">
        <v>0</v>
      </c>
    </row>
    <row r="88" spans="1:12" x14ac:dyDescent="0.25">
      <c r="A88" s="191"/>
      <c r="B88" s="192"/>
      <c r="C88" s="193"/>
      <c r="D88" s="193"/>
      <c r="E88" s="193"/>
      <c r="F88" s="193"/>
      <c r="G88" s="193"/>
      <c r="H88" s="193"/>
      <c r="I88" s="193"/>
      <c r="J88" s="193"/>
      <c r="K88" s="193"/>
      <c r="L88" s="193"/>
    </row>
    <row r="89" spans="1:12" x14ac:dyDescent="0.25">
      <c r="A89" s="191"/>
      <c r="B89" s="192"/>
      <c r="C89" s="193"/>
      <c r="D89" s="193"/>
      <c r="E89" s="193"/>
      <c r="F89" s="193"/>
      <c r="G89" s="193"/>
      <c r="H89" s="193"/>
      <c r="I89" s="193"/>
      <c r="J89" s="193"/>
      <c r="K89" s="193"/>
      <c r="L89" s="193"/>
    </row>
    <row r="90" spans="1:12" x14ac:dyDescent="0.25">
      <c r="A90" s="191"/>
      <c r="B90" s="192"/>
      <c r="C90" s="193"/>
      <c r="D90" s="193"/>
      <c r="E90" s="193"/>
      <c r="F90" s="193"/>
      <c r="G90" s="193"/>
      <c r="H90" s="193"/>
      <c r="I90" s="193"/>
      <c r="J90" s="193"/>
      <c r="K90" s="193"/>
      <c r="L90" s="193"/>
    </row>
    <row r="91" spans="1:12" x14ac:dyDescent="0.25">
      <c r="A91" s="191"/>
      <c r="B91" s="192"/>
      <c r="C91" s="193"/>
      <c r="D91" s="193"/>
      <c r="E91" s="193"/>
      <c r="F91" s="193"/>
      <c r="G91" s="193"/>
      <c r="H91" s="193"/>
      <c r="I91" s="193"/>
      <c r="J91" s="193"/>
      <c r="K91" s="193"/>
      <c r="L91" s="193"/>
    </row>
    <row r="92" spans="1:12" x14ac:dyDescent="0.25">
      <c r="A92" s="191"/>
      <c r="B92" s="192"/>
      <c r="C92" s="193"/>
      <c r="D92" s="193"/>
      <c r="E92" s="193"/>
      <c r="F92" s="193"/>
      <c r="G92" s="193"/>
      <c r="H92" s="193"/>
      <c r="I92" s="193"/>
      <c r="J92" s="193"/>
      <c r="K92" s="193"/>
      <c r="L92" s="193"/>
    </row>
    <row r="93" spans="1:12" x14ac:dyDescent="0.25">
      <c r="A93" s="191"/>
      <c r="B93" s="192"/>
      <c r="C93" s="193"/>
      <c r="D93" s="193"/>
      <c r="E93" s="193"/>
      <c r="F93" s="193"/>
      <c r="G93" s="193"/>
      <c r="H93" s="193"/>
      <c r="I93" s="193"/>
      <c r="J93" s="193"/>
      <c r="K93" s="193"/>
      <c r="L93" s="193"/>
    </row>
    <row r="94" spans="1:12" x14ac:dyDescent="0.25">
      <c r="A94" s="191"/>
      <c r="B94" s="192"/>
      <c r="C94" s="193"/>
      <c r="D94" s="193"/>
      <c r="E94" s="193"/>
      <c r="F94" s="193"/>
      <c r="G94" s="193"/>
      <c r="H94" s="193"/>
      <c r="I94" s="193"/>
      <c r="J94" s="193"/>
      <c r="K94" s="193"/>
      <c r="L94" s="193"/>
    </row>
    <row r="95" spans="1:12" x14ac:dyDescent="0.25">
      <c r="A95" s="191"/>
      <c r="B95" s="192"/>
      <c r="C95" s="193"/>
      <c r="D95" s="193"/>
      <c r="E95" s="193"/>
      <c r="F95" s="193"/>
      <c r="G95" s="193"/>
      <c r="H95" s="193"/>
      <c r="I95" s="193"/>
      <c r="J95" s="193"/>
      <c r="K95" s="193"/>
      <c r="L95" s="193"/>
    </row>
    <row r="96" spans="1:12" x14ac:dyDescent="0.25">
      <c r="A96" s="191"/>
      <c r="B96" s="192"/>
      <c r="C96" s="193"/>
      <c r="D96" s="193"/>
      <c r="E96" s="193"/>
      <c r="F96" s="193"/>
      <c r="G96" s="193"/>
      <c r="H96" s="193"/>
      <c r="I96" s="193"/>
      <c r="J96" s="193"/>
      <c r="K96" s="193"/>
      <c r="L96" s="193"/>
    </row>
    <row r="97" spans="1:12" x14ac:dyDescent="0.25">
      <c r="A97" s="191"/>
      <c r="B97" s="192"/>
      <c r="C97" s="193"/>
      <c r="D97" s="193"/>
      <c r="E97" s="193"/>
      <c r="F97" s="193"/>
      <c r="G97" s="193"/>
      <c r="H97" s="193"/>
      <c r="I97" s="193"/>
      <c r="J97" s="193"/>
      <c r="K97" s="193"/>
      <c r="L97" s="193"/>
    </row>
    <row r="98" spans="1:12" x14ac:dyDescent="0.25">
      <c r="A98" s="191"/>
      <c r="B98" s="192"/>
      <c r="C98" s="193"/>
      <c r="D98" s="193"/>
      <c r="E98" s="193"/>
      <c r="F98" s="193"/>
      <c r="G98" s="193"/>
      <c r="H98" s="193"/>
      <c r="I98" s="193"/>
      <c r="J98" s="193"/>
      <c r="K98" s="193"/>
      <c r="L98" s="193"/>
    </row>
    <row r="99" spans="1:12" x14ac:dyDescent="0.25">
      <c r="A99" s="191"/>
      <c r="B99" s="192"/>
      <c r="C99" s="193"/>
      <c r="D99" s="193"/>
      <c r="E99" s="193"/>
      <c r="F99" s="193"/>
      <c r="G99" s="193"/>
      <c r="H99" s="193"/>
      <c r="I99" s="193"/>
      <c r="J99" s="193"/>
      <c r="K99" s="193"/>
      <c r="L99" s="193"/>
    </row>
    <row r="100" spans="1:12" x14ac:dyDescent="0.25">
      <c r="A100" s="191"/>
      <c r="B100" s="192"/>
      <c r="C100" s="193"/>
      <c r="D100" s="193"/>
      <c r="E100" s="193"/>
      <c r="F100" s="193"/>
      <c r="G100" s="193"/>
      <c r="H100" s="193"/>
      <c r="I100" s="193"/>
      <c r="J100" s="193"/>
      <c r="K100" s="193"/>
      <c r="L100" s="193"/>
    </row>
    <row r="101" spans="1:12" x14ac:dyDescent="0.25">
      <c r="A101" s="191"/>
      <c r="B101" s="192"/>
      <c r="C101" s="193"/>
      <c r="D101" s="193"/>
      <c r="E101" s="193"/>
      <c r="F101" s="193"/>
      <c r="G101" s="193"/>
      <c r="H101" s="193"/>
      <c r="I101" s="193"/>
      <c r="J101" s="193"/>
      <c r="K101" s="193"/>
      <c r="L101" s="193"/>
    </row>
    <row r="102" spans="1:12" x14ac:dyDescent="0.25">
      <c r="A102" s="191"/>
      <c r="B102" s="192"/>
      <c r="C102" s="193"/>
      <c r="D102" s="193"/>
      <c r="E102" s="193"/>
      <c r="F102" s="193"/>
      <c r="G102" s="193"/>
      <c r="H102" s="193"/>
      <c r="I102" s="193"/>
      <c r="J102" s="193"/>
      <c r="K102" s="193"/>
      <c r="L102" s="193"/>
    </row>
    <row r="103" spans="1:12" x14ac:dyDescent="0.25">
      <c r="A103" s="191"/>
      <c r="B103" s="192"/>
      <c r="C103" s="193"/>
      <c r="D103" s="193"/>
      <c r="E103" s="193"/>
      <c r="F103" s="193"/>
      <c r="G103" s="193"/>
      <c r="H103" s="193"/>
      <c r="I103" s="193"/>
      <c r="J103" s="193"/>
      <c r="K103" s="193"/>
      <c r="L103" s="193"/>
    </row>
    <row r="104" spans="1:12" x14ac:dyDescent="0.25">
      <c r="A104" s="191"/>
      <c r="B104" s="192"/>
      <c r="C104" s="193"/>
      <c r="D104" s="193"/>
      <c r="E104" s="193"/>
      <c r="F104" s="193"/>
      <c r="G104" s="193"/>
      <c r="H104" s="193"/>
      <c r="I104" s="193"/>
      <c r="J104" s="193"/>
      <c r="K104" s="193"/>
      <c r="L104" s="193"/>
    </row>
    <row r="105" spans="1:12" x14ac:dyDescent="0.25">
      <c r="A105" s="191"/>
      <c r="B105" s="192"/>
      <c r="C105" s="193"/>
      <c r="D105" s="193"/>
      <c r="E105" s="193"/>
      <c r="F105" s="193"/>
      <c r="G105" s="193"/>
      <c r="H105" s="193"/>
      <c r="I105" s="193"/>
      <c r="J105" s="193"/>
      <c r="K105" s="193"/>
      <c r="L105" s="193"/>
    </row>
    <row r="106" spans="1:12" x14ac:dyDescent="0.25">
      <c r="A106" s="191"/>
      <c r="B106" s="192"/>
      <c r="C106" s="193"/>
      <c r="D106" s="193"/>
      <c r="E106" s="193"/>
      <c r="F106" s="193"/>
      <c r="G106" s="193"/>
      <c r="H106" s="193"/>
      <c r="I106" s="193"/>
      <c r="J106" s="193"/>
      <c r="K106" s="193"/>
      <c r="L106" s="193"/>
    </row>
    <row r="107" spans="1:12" x14ac:dyDescent="0.25">
      <c r="A107" s="191"/>
      <c r="B107" s="192"/>
      <c r="C107" s="193"/>
      <c r="D107" s="193"/>
      <c r="E107" s="193"/>
      <c r="F107" s="193"/>
      <c r="G107" s="193"/>
      <c r="H107" s="193"/>
      <c r="I107" s="193"/>
      <c r="J107" s="193"/>
      <c r="K107" s="193"/>
      <c r="L107" s="193"/>
    </row>
    <row r="108" spans="1:12" x14ac:dyDescent="0.25">
      <c r="A108" s="191"/>
      <c r="B108" s="192"/>
      <c r="C108" s="193"/>
      <c r="D108" s="193"/>
      <c r="E108" s="193"/>
      <c r="F108" s="193"/>
      <c r="G108" s="193"/>
      <c r="H108" s="193"/>
      <c r="I108" s="193"/>
      <c r="J108" s="193"/>
      <c r="K108" s="193"/>
      <c r="L108" s="193"/>
    </row>
    <row r="109" spans="1:12" x14ac:dyDescent="0.25">
      <c r="A109" s="191"/>
      <c r="B109" s="192"/>
      <c r="C109" s="193"/>
      <c r="D109" s="193"/>
      <c r="E109" s="193"/>
      <c r="F109" s="193"/>
      <c r="G109" s="193"/>
      <c r="H109" s="193"/>
      <c r="I109" s="193"/>
      <c r="J109" s="193"/>
      <c r="K109" s="193"/>
      <c r="L109" s="193"/>
    </row>
    <row r="110" spans="1:12" x14ac:dyDescent="0.25">
      <c r="A110" s="191"/>
      <c r="B110" s="192"/>
      <c r="C110" s="193"/>
      <c r="D110" s="193"/>
      <c r="E110" s="193"/>
      <c r="F110" s="193"/>
      <c r="G110" s="193"/>
      <c r="H110" s="193"/>
      <c r="I110" s="193"/>
      <c r="J110" s="193"/>
      <c r="K110" s="193"/>
      <c r="L110" s="193"/>
    </row>
    <row r="111" spans="1:12" x14ac:dyDescent="0.25">
      <c r="A111" s="191"/>
      <c r="B111" s="192"/>
      <c r="C111" s="193"/>
      <c r="D111" s="193"/>
      <c r="E111" s="193"/>
      <c r="F111" s="193"/>
      <c r="G111" s="193"/>
      <c r="H111" s="193"/>
      <c r="I111" s="193"/>
      <c r="J111" s="193"/>
      <c r="K111" s="193"/>
      <c r="L111" s="193"/>
    </row>
    <row r="112" spans="1:12" x14ac:dyDescent="0.25">
      <c r="A112" s="191"/>
      <c r="B112" s="192"/>
      <c r="C112" s="193"/>
      <c r="D112" s="193"/>
      <c r="E112" s="193"/>
      <c r="F112" s="193"/>
      <c r="G112" s="193"/>
      <c r="H112" s="193"/>
      <c r="I112" s="193"/>
      <c r="J112" s="193"/>
      <c r="K112" s="193"/>
      <c r="L112" s="193"/>
    </row>
    <row r="113" spans="1:12" x14ac:dyDescent="0.25">
      <c r="A113" s="191"/>
      <c r="B113" s="192"/>
      <c r="C113" s="193"/>
      <c r="D113" s="193"/>
      <c r="E113" s="193"/>
      <c r="F113" s="193"/>
      <c r="G113" s="193"/>
      <c r="H113" s="193"/>
      <c r="I113" s="193"/>
      <c r="J113" s="193"/>
      <c r="K113" s="193"/>
      <c r="L113" s="193"/>
    </row>
    <row r="114" spans="1:12" x14ac:dyDescent="0.25">
      <c r="A114" s="191"/>
      <c r="B114" s="192"/>
      <c r="C114" s="193"/>
      <c r="D114" s="193"/>
      <c r="E114" s="193"/>
      <c r="F114" s="193"/>
      <c r="G114" s="193"/>
      <c r="H114" s="193"/>
      <c r="I114" s="193"/>
      <c r="J114" s="193"/>
      <c r="K114" s="193"/>
      <c r="L114" s="193"/>
    </row>
    <row r="115" spans="1:12" x14ac:dyDescent="0.25">
      <c r="A115" s="191"/>
      <c r="B115" s="192"/>
      <c r="C115" s="193"/>
      <c r="D115" s="193"/>
      <c r="E115" s="193"/>
      <c r="F115" s="193"/>
      <c r="G115" s="193"/>
      <c r="H115" s="193"/>
      <c r="I115" s="193"/>
      <c r="J115" s="193"/>
      <c r="K115" s="193"/>
      <c r="L115" s="193"/>
    </row>
    <row r="116" spans="1:12" x14ac:dyDescent="0.25">
      <c r="A116" s="191"/>
      <c r="B116" s="192"/>
      <c r="C116" s="193"/>
      <c r="D116" s="193"/>
      <c r="E116" s="193"/>
      <c r="F116" s="193"/>
      <c r="G116" s="193"/>
      <c r="H116" s="193"/>
      <c r="I116" s="193"/>
      <c r="J116" s="193"/>
      <c r="K116" s="193"/>
      <c r="L116" s="193"/>
    </row>
    <row r="117" spans="1:12" x14ac:dyDescent="0.25">
      <c r="A117" s="191"/>
      <c r="B117" s="192"/>
      <c r="C117" s="193"/>
      <c r="D117" s="193"/>
      <c r="E117" s="193"/>
      <c r="F117" s="193"/>
      <c r="G117" s="193"/>
      <c r="H117" s="193"/>
      <c r="I117" s="193"/>
      <c r="J117" s="193"/>
      <c r="K117" s="193"/>
      <c r="L117" s="193"/>
    </row>
    <row r="118" spans="1:12" x14ac:dyDescent="0.25">
      <c r="A118" s="191"/>
      <c r="B118" s="192"/>
      <c r="C118" s="193"/>
      <c r="D118" s="193"/>
      <c r="E118" s="193"/>
      <c r="F118" s="193"/>
      <c r="G118" s="193"/>
      <c r="H118" s="193"/>
      <c r="I118" s="193"/>
      <c r="J118" s="193"/>
      <c r="K118" s="193"/>
      <c r="L118" s="193"/>
    </row>
    <row r="119" spans="1:12" x14ac:dyDescent="0.25">
      <c r="A119" s="191"/>
      <c r="B119" s="192"/>
      <c r="C119" s="193"/>
      <c r="D119" s="193"/>
      <c r="E119" s="193"/>
      <c r="F119" s="193"/>
      <c r="G119" s="193"/>
      <c r="H119" s="193"/>
      <c r="I119" s="193"/>
      <c r="J119" s="193"/>
      <c r="K119" s="193"/>
      <c r="L119" s="193"/>
    </row>
    <row r="120" spans="1:12" x14ac:dyDescent="0.25">
      <c r="A120" s="191"/>
      <c r="B120" s="192"/>
      <c r="C120" s="193"/>
      <c r="D120" s="193"/>
      <c r="E120" s="193"/>
      <c r="F120" s="193"/>
      <c r="G120" s="193"/>
      <c r="H120" s="193"/>
      <c r="I120" s="193"/>
      <c r="J120" s="193"/>
      <c r="K120" s="193"/>
      <c r="L120" s="193"/>
    </row>
    <row r="121" spans="1:12" x14ac:dyDescent="0.25">
      <c r="A121" s="191"/>
      <c r="B121" s="192"/>
      <c r="C121" s="193"/>
      <c r="D121" s="193"/>
      <c r="E121" s="193"/>
      <c r="F121" s="193"/>
      <c r="G121" s="193"/>
      <c r="H121" s="193"/>
      <c r="I121" s="193"/>
      <c r="J121" s="193"/>
      <c r="K121" s="193"/>
      <c r="L121" s="193"/>
    </row>
    <row r="122" spans="1:12" x14ac:dyDescent="0.25">
      <c r="A122" s="191"/>
      <c r="B122" s="192"/>
      <c r="C122" s="193"/>
      <c r="D122" s="193"/>
      <c r="E122" s="193"/>
      <c r="F122" s="193"/>
      <c r="G122" s="193"/>
      <c r="H122" s="193"/>
      <c r="I122" s="193"/>
      <c r="J122" s="193"/>
      <c r="K122" s="193"/>
      <c r="L122" s="193"/>
    </row>
    <row r="123" spans="1:12" x14ac:dyDescent="0.25">
      <c r="A123" s="191"/>
      <c r="B123" s="192"/>
      <c r="C123" s="193"/>
      <c r="D123" s="193"/>
      <c r="E123" s="193"/>
      <c r="F123" s="193"/>
      <c r="G123" s="193"/>
      <c r="H123" s="193"/>
      <c r="I123" s="193"/>
      <c r="J123" s="193"/>
      <c r="K123" s="193"/>
      <c r="L123" s="193"/>
    </row>
    <row r="124" spans="1:12" x14ac:dyDescent="0.25">
      <c r="A124" s="191"/>
      <c r="B124" s="192"/>
      <c r="C124" s="193"/>
      <c r="D124" s="193"/>
      <c r="E124" s="193"/>
      <c r="F124" s="193"/>
      <c r="G124" s="193"/>
      <c r="H124" s="193"/>
      <c r="I124" s="193"/>
      <c r="J124" s="193"/>
      <c r="K124" s="193"/>
      <c r="L124" s="193"/>
    </row>
  </sheetData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87"/>
  <sheetViews>
    <sheetView workbookViewId="0">
      <selection activeCell="B2" sqref="B2"/>
    </sheetView>
  </sheetViews>
  <sheetFormatPr defaultRowHeight="15" x14ac:dyDescent="0.25"/>
  <cols>
    <col min="1" max="1" width="16.5703125" style="194" customWidth="1"/>
    <col min="2" max="2" width="46.7109375" style="195" customWidth="1"/>
    <col min="3" max="12" width="15.28515625" style="196" bestFit="1" customWidth="1"/>
    <col min="13" max="16384" width="9.140625" style="190"/>
  </cols>
  <sheetData>
    <row r="1" spans="1:12" ht="22.5" x14ac:dyDescent="0.25">
      <c r="A1" s="200" t="s">
        <v>512</v>
      </c>
      <c r="B1" s="201" t="s">
        <v>513</v>
      </c>
      <c r="C1" s="202" t="s">
        <v>516</v>
      </c>
      <c r="D1" s="202" t="s">
        <v>517</v>
      </c>
      <c r="E1" s="202" t="s">
        <v>518</v>
      </c>
      <c r="F1" s="202" t="s">
        <v>519</v>
      </c>
      <c r="G1" s="202" t="s">
        <v>520</v>
      </c>
      <c r="H1" s="202" t="s">
        <v>521</v>
      </c>
      <c r="I1" s="202" t="s">
        <v>522</v>
      </c>
      <c r="J1" s="202" t="s">
        <v>523</v>
      </c>
      <c r="K1" s="202" t="s">
        <v>524</v>
      </c>
      <c r="L1" s="202" t="s">
        <v>525</v>
      </c>
    </row>
    <row r="2" spans="1:12" x14ac:dyDescent="0.25">
      <c r="A2" s="191" t="s">
        <v>538</v>
      </c>
      <c r="B2" s="192" t="s">
        <v>539</v>
      </c>
      <c r="C2" s="193">
        <v>14846.87</v>
      </c>
      <c r="D2" s="193">
        <v>0</v>
      </c>
      <c r="E2" s="193">
        <v>14846.87</v>
      </c>
      <c r="F2" s="193">
        <v>0</v>
      </c>
      <c r="G2" s="193">
        <v>0</v>
      </c>
      <c r="H2" s="193">
        <v>0</v>
      </c>
      <c r="I2" s="193">
        <v>0</v>
      </c>
      <c r="J2" s="193">
        <v>0</v>
      </c>
      <c r="K2" s="193">
        <v>14846.87</v>
      </c>
      <c r="L2" s="193">
        <v>0</v>
      </c>
    </row>
    <row r="3" spans="1:12" x14ac:dyDescent="0.25">
      <c r="A3" s="191" t="s">
        <v>1442</v>
      </c>
      <c r="B3" s="192" t="s">
        <v>442</v>
      </c>
      <c r="C3" s="193">
        <v>1885.41</v>
      </c>
      <c r="D3" s="193">
        <v>0</v>
      </c>
      <c r="E3" s="193">
        <v>0</v>
      </c>
      <c r="F3" s="193">
        <v>0</v>
      </c>
      <c r="G3" s="193">
        <v>0</v>
      </c>
      <c r="H3" s="193">
        <v>0</v>
      </c>
      <c r="I3" s="193">
        <v>0</v>
      </c>
      <c r="J3" s="193">
        <v>1885.41</v>
      </c>
      <c r="K3" s="193">
        <v>0</v>
      </c>
      <c r="L3" s="193">
        <v>0</v>
      </c>
    </row>
    <row r="4" spans="1:12" x14ac:dyDescent="0.25">
      <c r="A4" s="191" t="s">
        <v>540</v>
      </c>
      <c r="B4" s="192" t="s">
        <v>42</v>
      </c>
      <c r="C4" s="193">
        <v>1648932.74</v>
      </c>
      <c r="D4" s="193">
        <v>0</v>
      </c>
      <c r="E4" s="193">
        <v>1707272.37</v>
      </c>
      <c r="F4" s="193">
        <v>0</v>
      </c>
      <c r="G4" s="193">
        <v>0</v>
      </c>
      <c r="H4" s="193">
        <v>0</v>
      </c>
      <c r="I4" s="193">
        <v>58339.63</v>
      </c>
      <c r="J4" s="193">
        <v>0</v>
      </c>
      <c r="K4" s="193">
        <v>1707272.37</v>
      </c>
      <c r="L4" s="193">
        <v>0</v>
      </c>
    </row>
    <row r="5" spans="1:12" x14ac:dyDescent="0.25">
      <c r="A5" s="191" t="s">
        <v>541</v>
      </c>
      <c r="B5" s="192" t="s">
        <v>542</v>
      </c>
      <c r="C5" s="193">
        <v>786492.8</v>
      </c>
      <c r="D5" s="193">
        <v>0</v>
      </c>
      <c r="E5" s="193">
        <v>813196.63</v>
      </c>
      <c r="F5" s="193">
        <v>0</v>
      </c>
      <c r="G5" s="193">
        <v>0</v>
      </c>
      <c r="H5" s="193">
        <v>7819.12</v>
      </c>
      <c r="I5" s="193">
        <v>44061.89</v>
      </c>
      <c r="J5" s="193">
        <v>25177.18</v>
      </c>
      <c r="K5" s="193">
        <v>805377.51</v>
      </c>
      <c r="L5" s="193">
        <v>0</v>
      </c>
    </row>
    <row r="6" spans="1:12" x14ac:dyDescent="0.25">
      <c r="A6" s="191" t="s">
        <v>543</v>
      </c>
      <c r="B6" s="192" t="s">
        <v>41</v>
      </c>
      <c r="C6" s="193">
        <v>103220.21</v>
      </c>
      <c r="D6" s="193">
        <v>0</v>
      </c>
      <c r="E6" s="193">
        <v>103220.21</v>
      </c>
      <c r="F6" s="193">
        <v>0</v>
      </c>
      <c r="G6" s="193">
        <v>0</v>
      </c>
      <c r="H6" s="193">
        <v>0</v>
      </c>
      <c r="I6" s="193">
        <v>0</v>
      </c>
      <c r="J6" s="193">
        <v>0</v>
      </c>
      <c r="K6" s="193">
        <v>103220.21</v>
      </c>
      <c r="L6" s="193">
        <v>0</v>
      </c>
    </row>
    <row r="7" spans="1:12" x14ac:dyDescent="0.25">
      <c r="A7" s="191" t="s">
        <v>544</v>
      </c>
      <c r="B7" s="192" t="s">
        <v>545</v>
      </c>
      <c r="C7" s="193">
        <v>5088.21</v>
      </c>
      <c r="D7" s="193">
        <v>0</v>
      </c>
      <c r="E7" s="193">
        <v>5188.21</v>
      </c>
      <c r="F7" s="193">
        <v>0</v>
      </c>
      <c r="G7" s="193">
        <v>1607.22</v>
      </c>
      <c r="H7" s="193">
        <v>0</v>
      </c>
      <c r="I7" s="193">
        <v>104108.74</v>
      </c>
      <c r="J7" s="193">
        <v>102401.52</v>
      </c>
      <c r="K7" s="193">
        <v>6795.43</v>
      </c>
      <c r="L7" s="193">
        <v>0</v>
      </c>
    </row>
    <row r="8" spans="1:12" x14ac:dyDescent="0.25">
      <c r="A8" s="191" t="s">
        <v>546</v>
      </c>
      <c r="B8" s="192" t="s">
        <v>547</v>
      </c>
      <c r="C8" s="193">
        <v>40122.15</v>
      </c>
      <c r="D8" s="193">
        <v>0</v>
      </c>
      <c r="E8" s="193">
        <v>40122.15</v>
      </c>
      <c r="F8" s="193">
        <v>0</v>
      </c>
      <c r="G8" s="193">
        <v>0</v>
      </c>
      <c r="H8" s="193">
        <v>0</v>
      </c>
      <c r="I8" s="193">
        <v>0</v>
      </c>
      <c r="J8" s="193">
        <v>0</v>
      </c>
      <c r="K8" s="193">
        <v>40122.15</v>
      </c>
      <c r="L8" s="193">
        <v>0</v>
      </c>
    </row>
    <row r="9" spans="1:12" x14ac:dyDescent="0.25">
      <c r="A9" s="191" t="s">
        <v>548</v>
      </c>
      <c r="B9" s="192" t="s">
        <v>549</v>
      </c>
      <c r="C9" s="193">
        <v>0</v>
      </c>
      <c r="D9" s="193">
        <v>14348.87</v>
      </c>
      <c r="E9" s="193">
        <v>0</v>
      </c>
      <c r="F9" s="193">
        <v>14810.87</v>
      </c>
      <c r="G9" s="193">
        <v>0</v>
      </c>
      <c r="H9" s="193">
        <v>36</v>
      </c>
      <c r="I9" s="193">
        <v>0</v>
      </c>
      <c r="J9" s="193">
        <v>498</v>
      </c>
      <c r="K9" s="193">
        <v>0</v>
      </c>
      <c r="L9" s="193">
        <v>14846.87</v>
      </c>
    </row>
    <row r="10" spans="1:12" x14ac:dyDescent="0.25">
      <c r="A10" s="191" t="s">
        <v>1443</v>
      </c>
      <c r="B10" s="192" t="s">
        <v>1444</v>
      </c>
      <c r="C10" s="193">
        <v>0</v>
      </c>
      <c r="D10" s="193">
        <v>1885.41</v>
      </c>
      <c r="E10" s="193">
        <v>0</v>
      </c>
      <c r="F10" s="193">
        <v>0</v>
      </c>
      <c r="G10" s="193">
        <v>0</v>
      </c>
      <c r="H10" s="193">
        <v>0</v>
      </c>
      <c r="I10" s="193">
        <v>1885.41</v>
      </c>
      <c r="J10" s="193">
        <v>0</v>
      </c>
      <c r="K10" s="193">
        <v>0</v>
      </c>
      <c r="L10" s="193">
        <v>0</v>
      </c>
    </row>
    <row r="11" spans="1:12" x14ac:dyDescent="0.25">
      <c r="A11" s="191" t="s">
        <v>550</v>
      </c>
      <c r="B11" s="192" t="s">
        <v>551</v>
      </c>
      <c r="C11" s="193">
        <v>0</v>
      </c>
      <c r="D11" s="193">
        <v>564162.93999999994</v>
      </c>
      <c r="E11" s="193">
        <v>0</v>
      </c>
      <c r="F11" s="193">
        <v>663675.93999999994</v>
      </c>
      <c r="G11" s="193">
        <v>0</v>
      </c>
      <c r="H11" s="193">
        <v>9162.65</v>
      </c>
      <c r="I11" s="193">
        <v>0</v>
      </c>
      <c r="J11" s="193">
        <v>108675.65</v>
      </c>
      <c r="K11" s="193">
        <v>0</v>
      </c>
      <c r="L11" s="193">
        <v>672838.59</v>
      </c>
    </row>
    <row r="12" spans="1:12" x14ac:dyDescent="0.25">
      <c r="A12" s="191" t="s">
        <v>552</v>
      </c>
      <c r="B12" s="192" t="s">
        <v>553</v>
      </c>
      <c r="C12" s="193">
        <v>0</v>
      </c>
      <c r="D12" s="193">
        <v>592166.18000000005</v>
      </c>
      <c r="E12" s="193">
        <v>0</v>
      </c>
      <c r="F12" s="193">
        <v>651655.22</v>
      </c>
      <c r="G12" s="193">
        <v>7819.12</v>
      </c>
      <c r="H12" s="193">
        <v>5277.52</v>
      </c>
      <c r="I12" s="193">
        <v>25177.18</v>
      </c>
      <c r="J12" s="193">
        <v>82124.62</v>
      </c>
      <c r="K12" s="193">
        <v>0</v>
      </c>
      <c r="L12" s="193">
        <v>649113.62</v>
      </c>
    </row>
    <row r="13" spans="1:12" x14ac:dyDescent="0.25">
      <c r="A13" s="191" t="s">
        <v>554</v>
      </c>
      <c r="B13" s="192" t="s">
        <v>555</v>
      </c>
      <c r="C13" s="193">
        <v>0</v>
      </c>
      <c r="D13" s="193">
        <v>0</v>
      </c>
      <c r="E13" s="193">
        <v>0</v>
      </c>
      <c r="F13" s="193">
        <v>0</v>
      </c>
      <c r="G13" s="193">
        <v>894.4</v>
      </c>
      <c r="H13" s="193">
        <v>894.4</v>
      </c>
      <c r="I13" s="193">
        <v>27054.83</v>
      </c>
      <c r="J13" s="193">
        <v>27054.83</v>
      </c>
      <c r="K13" s="193">
        <v>0</v>
      </c>
      <c r="L13" s="193">
        <v>0</v>
      </c>
    </row>
    <row r="14" spans="1:12" x14ac:dyDescent="0.25">
      <c r="A14" s="191" t="s">
        <v>556</v>
      </c>
      <c r="B14" s="192" t="s">
        <v>557</v>
      </c>
      <c r="C14" s="193">
        <v>11406.8</v>
      </c>
      <c r="D14" s="193">
        <v>0</v>
      </c>
      <c r="E14" s="193">
        <v>34013.35</v>
      </c>
      <c r="F14" s="193">
        <v>0</v>
      </c>
      <c r="G14" s="193">
        <v>1204.4100000000001</v>
      </c>
      <c r="H14" s="193">
        <v>18520.55</v>
      </c>
      <c r="I14" s="193">
        <v>27364.84</v>
      </c>
      <c r="J14" s="193">
        <v>22074.43</v>
      </c>
      <c r="K14" s="193">
        <v>16697.21</v>
      </c>
      <c r="L14" s="193">
        <v>0</v>
      </c>
    </row>
    <row r="15" spans="1:12" x14ac:dyDescent="0.25">
      <c r="A15" s="191" t="s">
        <v>558</v>
      </c>
      <c r="B15" s="192" t="s">
        <v>559</v>
      </c>
      <c r="C15" s="193">
        <v>0</v>
      </c>
      <c r="D15" s="193">
        <v>0</v>
      </c>
      <c r="E15" s="193">
        <v>-15391.74</v>
      </c>
      <c r="F15" s="193">
        <v>0</v>
      </c>
      <c r="G15" s="193">
        <v>126788.98</v>
      </c>
      <c r="H15" s="193">
        <v>111397.24</v>
      </c>
      <c r="I15" s="193">
        <v>4464310.6399999997</v>
      </c>
      <c r="J15" s="193">
        <v>4464310.6399999997</v>
      </c>
      <c r="K15" s="193">
        <v>0</v>
      </c>
      <c r="L15" s="193">
        <v>0</v>
      </c>
    </row>
    <row r="16" spans="1:12" x14ac:dyDescent="0.25">
      <c r="A16" s="191" t="s">
        <v>560</v>
      </c>
      <c r="B16" s="192" t="s">
        <v>561</v>
      </c>
      <c r="C16" s="193">
        <v>0</v>
      </c>
      <c r="D16" s="193">
        <v>0</v>
      </c>
      <c r="E16" s="193">
        <v>44683.42</v>
      </c>
      <c r="F16" s="193">
        <v>0</v>
      </c>
      <c r="G16" s="193">
        <v>955</v>
      </c>
      <c r="H16" s="193">
        <v>45638.42</v>
      </c>
      <c r="I16" s="193">
        <v>45638.42</v>
      </c>
      <c r="J16" s="193">
        <v>45638.42</v>
      </c>
      <c r="K16" s="193">
        <v>0</v>
      </c>
      <c r="L16" s="193">
        <v>0</v>
      </c>
    </row>
    <row r="17" spans="1:12" x14ac:dyDescent="0.25">
      <c r="A17" s="191" t="s">
        <v>562</v>
      </c>
      <c r="B17" s="192" t="s">
        <v>563</v>
      </c>
      <c r="C17" s="193">
        <v>940524.89</v>
      </c>
      <c r="D17" s="193">
        <v>0</v>
      </c>
      <c r="E17" s="193">
        <v>1028603.41</v>
      </c>
      <c r="F17" s="193">
        <v>0</v>
      </c>
      <c r="G17" s="193">
        <v>155031.72</v>
      </c>
      <c r="H17" s="193">
        <v>196430.39</v>
      </c>
      <c r="I17" s="193">
        <v>4174702.86</v>
      </c>
      <c r="J17" s="193">
        <v>4128023.01</v>
      </c>
      <c r="K17" s="193">
        <v>987204.74</v>
      </c>
      <c r="L17" s="193">
        <v>0</v>
      </c>
    </row>
    <row r="18" spans="1:12" x14ac:dyDescent="0.25">
      <c r="A18" s="191" t="s">
        <v>564</v>
      </c>
      <c r="B18" s="192" t="s">
        <v>565</v>
      </c>
      <c r="C18" s="193">
        <v>19986.36</v>
      </c>
      <c r="D18" s="193">
        <v>0</v>
      </c>
      <c r="E18" s="193">
        <v>74990.899999999994</v>
      </c>
      <c r="F18" s="193">
        <v>0</v>
      </c>
      <c r="G18" s="193">
        <v>9748.76</v>
      </c>
      <c r="H18" s="193">
        <v>19520.740000000002</v>
      </c>
      <c r="I18" s="193">
        <v>468498.46</v>
      </c>
      <c r="J18" s="193">
        <v>423265.9</v>
      </c>
      <c r="K18" s="193">
        <v>65218.92</v>
      </c>
      <c r="L18" s="193">
        <v>0</v>
      </c>
    </row>
    <row r="19" spans="1:12" x14ac:dyDescent="0.25">
      <c r="A19" s="191" t="s">
        <v>566</v>
      </c>
      <c r="B19" s="192" t="s">
        <v>567</v>
      </c>
      <c r="C19" s="193">
        <v>56396.27</v>
      </c>
      <c r="D19" s="193">
        <v>0</v>
      </c>
      <c r="E19" s="193">
        <v>67092.289999999994</v>
      </c>
      <c r="F19" s="193">
        <v>0</v>
      </c>
      <c r="G19" s="193">
        <v>14817.47</v>
      </c>
      <c r="H19" s="193">
        <v>13601.31</v>
      </c>
      <c r="I19" s="193">
        <v>299193.28000000003</v>
      </c>
      <c r="J19" s="193">
        <v>287281.09999999998</v>
      </c>
      <c r="K19" s="193">
        <v>68308.45</v>
      </c>
      <c r="L19" s="193">
        <v>0</v>
      </c>
    </row>
    <row r="20" spans="1:12" x14ac:dyDescent="0.25">
      <c r="A20" s="194" t="s">
        <v>568</v>
      </c>
      <c r="B20" s="195" t="s">
        <v>569</v>
      </c>
      <c r="C20" s="196">
        <v>16516.12</v>
      </c>
      <c r="D20" s="196">
        <v>0</v>
      </c>
      <c r="E20" s="196">
        <v>32166.58</v>
      </c>
      <c r="F20" s="196">
        <v>0</v>
      </c>
      <c r="G20" s="196">
        <v>237551.27</v>
      </c>
      <c r="H20" s="196">
        <v>243366.68</v>
      </c>
      <c r="I20" s="196">
        <v>4642461.2300000004</v>
      </c>
      <c r="J20" s="196">
        <v>4632626.18</v>
      </c>
      <c r="K20" s="196">
        <v>26351.17</v>
      </c>
      <c r="L20" s="196">
        <v>0</v>
      </c>
    </row>
    <row r="21" spans="1:12" x14ac:dyDescent="0.25">
      <c r="A21" s="194" t="s">
        <v>570</v>
      </c>
      <c r="B21" s="195" t="s">
        <v>571</v>
      </c>
      <c r="C21" s="196">
        <v>0</v>
      </c>
      <c r="D21" s="196">
        <v>0</v>
      </c>
      <c r="E21" s="196">
        <v>-690.48</v>
      </c>
      <c r="F21" s="196">
        <v>0</v>
      </c>
      <c r="G21" s="196">
        <v>1515</v>
      </c>
      <c r="H21" s="196">
        <v>824.52</v>
      </c>
      <c r="I21" s="196">
        <v>15572.5</v>
      </c>
      <c r="J21" s="196">
        <v>15572.5</v>
      </c>
      <c r="K21" s="196">
        <v>0</v>
      </c>
      <c r="L21" s="196">
        <v>0</v>
      </c>
    </row>
    <row r="22" spans="1:12" x14ac:dyDescent="0.25">
      <c r="A22" s="194" t="s">
        <v>572</v>
      </c>
      <c r="B22" s="195" t="s">
        <v>573</v>
      </c>
      <c r="C22" s="196">
        <v>279.3</v>
      </c>
      <c r="D22" s="196">
        <v>0</v>
      </c>
      <c r="E22" s="196">
        <v>549</v>
      </c>
      <c r="F22" s="196">
        <v>0</v>
      </c>
      <c r="G22" s="196">
        <v>0</v>
      </c>
      <c r="H22" s="196">
        <v>258</v>
      </c>
      <c r="I22" s="196">
        <v>5276.1</v>
      </c>
      <c r="J22" s="196">
        <v>5264.4</v>
      </c>
      <c r="K22" s="196">
        <v>291</v>
      </c>
      <c r="L22" s="196">
        <v>0</v>
      </c>
    </row>
    <row r="23" spans="1:12" x14ac:dyDescent="0.25">
      <c r="A23" s="194" t="s">
        <v>574</v>
      </c>
      <c r="B23" s="195" t="s">
        <v>575</v>
      </c>
      <c r="C23" s="196">
        <v>0</v>
      </c>
      <c r="D23" s="196">
        <v>0</v>
      </c>
      <c r="E23" s="196">
        <v>-44204.800000000003</v>
      </c>
      <c r="F23" s="196">
        <v>0</v>
      </c>
      <c r="G23" s="196">
        <v>243662.74</v>
      </c>
      <c r="H23" s="196">
        <v>199457.94</v>
      </c>
      <c r="I23" s="196">
        <v>3227146.39</v>
      </c>
      <c r="J23" s="196">
        <v>3227146.39</v>
      </c>
      <c r="K23" s="196">
        <v>0</v>
      </c>
      <c r="L23" s="196">
        <v>0</v>
      </c>
    </row>
    <row r="24" spans="1:12" x14ac:dyDescent="0.25">
      <c r="A24" s="194" t="s">
        <v>576</v>
      </c>
      <c r="B24" s="195" t="s">
        <v>577</v>
      </c>
      <c r="C24" s="196">
        <v>0</v>
      </c>
      <c r="D24" s="196">
        <v>0</v>
      </c>
      <c r="E24" s="196">
        <v>-396460.91</v>
      </c>
      <c r="F24" s="196">
        <v>0</v>
      </c>
      <c r="G24" s="196">
        <v>603291.35</v>
      </c>
      <c r="H24" s="196">
        <v>206830.44</v>
      </c>
      <c r="I24" s="196">
        <v>3934985.04</v>
      </c>
      <c r="J24" s="196">
        <v>3934985.04</v>
      </c>
      <c r="K24" s="196">
        <v>0</v>
      </c>
      <c r="L24" s="196">
        <v>0</v>
      </c>
    </row>
    <row r="25" spans="1:12" x14ac:dyDescent="0.25">
      <c r="A25" s="194" t="s">
        <v>578</v>
      </c>
      <c r="B25" s="195" t="s">
        <v>251</v>
      </c>
      <c r="C25" s="196">
        <v>0</v>
      </c>
      <c r="D25" s="196">
        <v>402502.75</v>
      </c>
      <c r="E25" s="196">
        <v>0</v>
      </c>
      <c r="F25" s="196">
        <v>0</v>
      </c>
      <c r="G25" s="196">
        <v>0</v>
      </c>
      <c r="H25" s="196">
        <v>448254.79</v>
      </c>
      <c r="I25" s="196">
        <v>402502.75</v>
      </c>
      <c r="J25" s="196">
        <v>448254.79</v>
      </c>
      <c r="K25" s="196">
        <v>0</v>
      </c>
      <c r="L25" s="196">
        <v>448254.79</v>
      </c>
    </row>
    <row r="26" spans="1:12" x14ac:dyDescent="0.25">
      <c r="A26" s="194" t="s">
        <v>579</v>
      </c>
      <c r="B26" s="195" t="s">
        <v>580</v>
      </c>
      <c r="C26" s="196">
        <v>0</v>
      </c>
      <c r="D26" s="196">
        <v>0</v>
      </c>
      <c r="E26" s="196">
        <v>0</v>
      </c>
      <c r="F26" s="196">
        <v>0</v>
      </c>
      <c r="G26" s="196">
        <v>0</v>
      </c>
      <c r="H26" s="196">
        <v>43555.14</v>
      </c>
      <c r="I26" s="196">
        <v>25000</v>
      </c>
      <c r="J26" s="196">
        <v>68555.14</v>
      </c>
      <c r="K26" s="196">
        <v>0</v>
      </c>
      <c r="L26" s="196">
        <v>43555.14</v>
      </c>
    </row>
    <row r="27" spans="1:12" x14ac:dyDescent="0.25">
      <c r="A27" s="194" t="s">
        <v>581</v>
      </c>
      <c r="B27" s="195" t="s">
        <v>582</v>
      </c>
      <c r="C27" s="196">
        <v>0</v>
      </c>
      <c r="D27" s="196">
        <v>0</v>
      </c>
      <c r="E27" s="196">
        <v>-6452.83</v>
      </c>
      <c r="F27" s="196">
        <v>0</v>
      </c>
      <c r="G27" s="196">
        <v>235066.57</v>
      </c>
      <c r="H27" s="196">
        <v>228613.74</v>
      </c>
      <c r="I27" s="196">
        <v>4433727.66</v>
      </c>
      <c r="J27" s="196">
        <v>4433727.66</v>
      </c>
      <c r="K27" s="196">
        <v>0</v>
      </c>
      <c r="L27" s="196">
        <v>0</v>
      </c>
    </row>
    <row r="28" spans="1:12" x14ac:dyDescent="0.25">
      <c r="A28" s="194" t="s">
        <v>583</v>
      </c>
      <c r="B28" s="195" t="s">
        <v>584</v>
      </c>
      <c r="C28" s="196">
        <v>0</v>
      </c>
      <c r="D28" s="196">
        <v>0</v>
      </c>
      <c r="E28" s="196">
        <v>0</v>
      </c>
      <c r="F28" s="196">
        <v>0</v>
      </c>
      <c r="G28" s="196">
        <v>147636.47</v>
      </c>
      <c r="H28" s="196">
        <v>147636.47</v>
      </c>
      <c r="I28" s="196">
        <v>1987880.59</v>
      </c>
      <c r="J28" s="196">
        <v>1987880.59</v>
      </c>
      <c r="K28" s="196">
        <v>0</v>
      </c>
      <c r="L28" s="196">
        <v>0</v>
      </c>
    </row>
    <row r="29" spans="1:12" x14ac:dyDescent="0.25">
      <c r="A29" s="194" t="s">
        <v>585</v>
      </c>
      <c r="B29" s="195" t="s">
        <v>586</v>
      </c>
      <c r="C29" s="196">
        <v>0</v>
      </c>
      <c r="D29" s="196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1208732.19</v>
      </c>
      <c r="J29" s="196">
        <v>1208732.19</v>
      </c>
      <c r="K29" s="196">
        <v>0</v>
      </c>
      <c r="L29" s="196">
        <v>0</v>
      </c>
    </row>
    <row r="30" spans="1:12" x14ac:dyDescent="0.25">
      <c r="A30" s="194" t="s">
        <v>587</v>
      </c>
      <c r="B30" s="195" t="s">
        <v>588</v>
      </c>
      <c r="C30" s="196">
        <v>0</v>
      </c>
      <c r="D30" s="196">
        <v>0</v>
      </c>
      <c r="E30" s="196">
        <v>0</v>
      </c>
      <c r="F30" s="196">
        <v>0</v>
      </c>
      <c r="G30" s="196">
        <v>2304.89</v>
      </c>
      <c r="H30" s="196">
        <v>2304.89</v>
      </c>
      <c r="I30" s="196">
        <v>108181.22</v>
      </c>
      <c r="J30" s="196">
        <v>108181.22</v>
      </c>
      <c r="K30" s="196">
        <v>0</v>
      </c>
      <c r="L30" s="196">
        <v>0</v>
      </c>
    </row>
    <row r="31" spans="1:12" x14ac:dyDescent="0.25">
      <c r="A31" s="194" t="s">
        <v>589</v>
      </c>
      <c r="B31" s="195" t="s">
        <v>590</v>
      </c>
      <c r="C31" s="196">
        <v>0</v>
      </c>
      <c r="D31" s="196">
        <v>0</v>
      </c>
      <c r="E31" s="196">
        <v>0</v>
      </c>
      <c r="F31" s="196">
        <v>0</v>
      </c>
      <c r="G31" s="196">
        <v>15960.82</v>
      </c>
      <c r="H31" s="196">
        <v>15960.82</v>
      </c>
      <c r="I31" s="196">
        <v>375562.17</v>
      </c>
      <c r="J31" s="196">
        <v>375562.17</v>
      </c>
      <c r="K31" s="196">
        <v>0</v>
      </c>
      <c r="L31" s="196">
        <v>0</v>
      </c>
    </row>
    <row r="32" spans="1:12" x14ac:dyDescent="0.25">
      <c r="A32" s="194" t="s">
        <v>591</v>
      </c>
      <c r="B32" s="195" t="s">
        <v>592</v>
      </c>
      <c r="C32" s="196">
        <v>328326.34999999998</v>
      </c>
      <c r="D32" s="196">
        <v>0</v>
      </c>
      <c r="E32" s="196">
        <v>377896.05</v>
      </c>
      <c r="F32" s="196">
        <v>0</v>
      </c>
      <c r="G32" s="196">
        <v>167634.18</v>
      </c>
      <c r="H32" s="196">
        <v>239120.77</v>
      </c>
      <c r="I32" s="196">
        <v>3205407.09</v>
      </c>
      <c r="J32" s="196">
        <v>3227323.98</v>
      </c>
      <c r="K32" s="196">
        <v>306409.46000000002</v>
      </c>
      <c r="L32" s="196">
        <v>0</v>
      </c>
    </row>
    <row r="33" spans="1:12" x14ac:dyDescent="0.25">
      <c r="A33" s="194" t="s">
        <v>593</v>
      </c>
      <c r="B33" s="195" t="s">
        <v>594</v>
      </c>
      <c r="C33" s="196">
        <v>0</v>
      </c>
      <c r="D33" s="196">
        <v>0</v>
      </c>
      <c r="E33" s="196">
        <v>25081.39</v>
      </c>
      <c r="F33" s="196">
        <v>0</v>
      </c>
      <c r="G33" s="196">
        <v>3698.53</v>
      </c>
      <c r="H33" s="196">
        <v>28779.919999999998</v>
      </c>
      <c r="I33" s="196">
        <v>43978.42</v>
      </c>
      <c r="J33" s="196">
        <v>43978.42</v>
      </c>
      <c r="K33" s="196">
        <v>0</v>
      </c>
      <c r="L33" s="196">
        <v>0</v>
      </c>
    </row>
    <row r="34" spans="1:12" x14ac:dyDescent="0.25">
      <c r="A34" s="194" t="s">
        <v>595</v>
      </c>
      <c r="B34" s="195" t="s">
        <v>596</v>
      </c>
      <c r="C34" s="196">
        <v>1388.37</v>
      </c>
      <c r="D34" s="196">
        <v>0</v>
      </c>
      <c r="E34" s="196">
        <v>21707.37</v>
      </c>
      <c r="F34" s="196">
        <v>0</v>
      </c>
      <c r="G34" s="196">
        <v>2685.1</v>
      </c>
      <c r="H34" s="196">
        <v>21986.27</v>
      </c>
      <c r="I34" s="196">
        <v>55003.27</v>
      </c>
      <c r="J34" s="196">
        <v>53985.440000000002</v>
      </c>
      <c r="K34" s="196">
        <v>2406.1999999999998</v>
      </c>
      <c r="L34" s="196">
        <v>0</v>
      </c>
    </row>
    <row r="35" spans="1:12" x14ac:dyDescent="0.25">
      <c r="A35" s="194" t="s">
        <v>597</v>
      </c>
      <c r="B35" s="195" t="s">
        <v>598</v>
      </c>
      <c r="C35" s="196">
        <v>326.36</v>
      </c>
      <c r="D35" s="196">
        <v>0</v>
      </c>
      <c r="E35" s="196">
        <v>17258.89</v>
      </c>
      <c r="F35" s="196">
        <v>0</v>
      </c>
      <c r="G35" s="196">
        <v>-16084.36</v>
      </c>
      <c r="H35" s="196">
        <v>0</v>
      </c>
      <c r="I35" s="196">
        <v>848.17</v>
      </c>
      <c r="J35" s="196">
        <v>0</v>
      </c>
      <c r="K35" s="196">
        <v>1174.53</v>
      </c>
      <c r="L35" s="196">
        <v>0</v>
      </c>
    </row>
    <row r="36" spans="1:12" x14ac:dyDescent="0.25">
      <c r="A36" s="194" t="s">
        <v>599</v>
      </c>
      <c r="B36" s="195" t="s">
        <v>600</v>
      </c>
      <c r="C36" s="196">
        <v>0</v>
      </c>
      <c r="D36" s="196">
        <v>388.37</v>
      </c>
      <c r="E36" s="196">
        <v>0</v>
      </c>
      <c r="F36" s="196">
        <v>20707.37</v>
      </c>
      <c r="G36" s="196">
        <v>0</v>
      </c>
      <c r="H36" s="196">
        <v>-19301.169999999998</v>
      </c>
      <c r="I36" s="196">
        <v>0</v>
      </c>
      <c r="J36" s="196">
        <v>1017.83</v>
      </c>
      <c r="K36" s="196">
        <v>0</v>
      </c>
      <c r="L36" s="196">
        <v>1406.2</v>
      </c>
    </row>
    <row r="37" spans="1:12" x14ac:dyDescent="0.25">
      <c r="A37" s="194" t="s">
        <v>601</v>
      </c>
      <c r="B37" s="195" t="s">
        <v>602</v>
      </c>
      <c r="C37" s="196">
        <v>0</v>
      </c>
      <c r="D37" s="196">
        <v>0</v>
      </c>
      <c r="E37" s="196">
        <v>0</v>
      </c>
      <c r="F37" s="196">
        <v>0</v>
      </c>
      <c r="G37" s="196">
        <v>1033.1099999999999</v>
      </c>
      <c r="H37" s="196">
        <v>0</v>
      </c>
      <c r="I37" s="196">
        <v>6400.4</v>
      </c>
      <c r="J37" s="196">
        <v>5367.29</v>
      </c>
      <c r="K37" s="196">
        <v>1033.1099999999999</v>
      </c>
      <c r="L37" s="196">
        <v>0</v>
      </c>
    </row>
    <row r="38" spans="1:12" x14ac:dyDescent="0.25">
      <c r="A38" s="194" t="s">
        <v>603</v>
      </c>
      <c r="B38" s="195" t="s">
        <v>604</v>
      </c>
      <c r="C38" s="196">
        <v>2223.0700000000002</v>
      </c>
      <c r="D38" s="196">
        <v>0</v>
      </c>
      <c r="E38" s="196">
        <v>2223.0700000000002</v>
      </c>
      <c r="F38" s="196">
        <v>0</v>
      </c>
      <c r="G38" s="196">
        <v>0</v>
      </c>
      <c r="H38" s="196">
        <v>0</v>
      </c>
      <c r="I38" s="196">
        <v>0</v>
      </c>
      <c r="J38" s="196">
        <v>0</v>
      </c>
      <c r="K38" s="196">
        <v>2223.0700000000002</v>
      </c>
      <c r="L38" s="196">
        <v>0</v>
      </c>
    </row>
    <row r="39" spans="1:12" x14ac:dyDescent="0.25">
      <c r="A39" s="194" t="s">
        <v>607</v>
      </c>
      <c r="B39" s="195" t="s">
        <v>608</v>
      </c>
      <c r="C39" s="196">
        <v>0</v>
      </c>
      <c r="D39" s="196">
        <v>393021.1</v>
      </c>
      <c r="E39" s="196">
        <v>0</v>
      </c>
      <c r="F39" s="196">
        <v>659941.02</v>
      </c>
      <c r="G39" s="196">
        <v>352129.22</v>
      </c>
      <c r="H39" s="196">
        <v>201175.49</v>
      </c>
      <c r="I39" s="196">
        <v>6053959.2699999996</v>
      </c>
      <c r="J39" s="196">
        <v>6169925.46</v>
      </c>
      <c r="K39" s="196">
        <v>0</v>
      </c>
      <c r="L39" s="196">
        <v>508987.29</v>
      </c>
    </row>
    <row r="40" spans="1:12" x14ac:dyDescent="0.25">
      <c r="A40" s="194" t="s">
        <v>609</v>
      </c>
      <c r="B40" s="195" t="s">
        <v>610</v>
      </c>
      <c r="C40" s="196">
        <v>0</v>
      </c>
      <c r="D40" s="196">
        <v>1208.23</v>
      </c>
      <c r="E40" s="196">
        <v>0</v>
      </c>
      <c r="F40" s="196">
        <v>-21033.37</v>
      </c>
      <c r="G40" s="196">
        <v>-71.91</v>
      </c>
      <c r="H40" s="196">
        <v>22308.05</v>
      </c>
      <c r="I40" s="196">
        <v>26955.42</v>
      </c>
      <c r="J40" s="196">
        <v>27093.78</v>
      </c>
      <c r="K40" s="196">
        <v>0</v>
      </c>
      <c r="L40" s="196">
        <v>1346.59</v>
      </c>
    </row>
    <row r="41" spans="1:12" x14ac:dyDescent="0.25">
      <c r="A41" s="194" t="s">
        <v>611</v>
      </c>
      <c r="B41" s="195" t="s">
        <v>612</v>
      </c>
      <c r="C41" s="196">
        <v>0</v>
      </c>
      <c r="D41" s="196">
        <v>21392.48</v>
      </c>
      <c r="E41" s="196">
        <v>0</v>
      </c>
      <c r="F41" s="196">
        <v>1327.76</v>
      </c>
      <c r="G41" s="196">
        <v>1327.76</v>
      </c>
      <c r="H41" s="196">
        <v>27904.98</v>
      </c>
      <c r="I41" s="196">
        <v>21392.48</v>
      </c>
      <c r="J41" s="196">
        <v>27904.98</v>
      </c>
      <c r="K41" s="196">
        <v>0</v>
      </c>
      <c r="L41" s="196">
        <v>27904.98</v>
      </c>
    </row>
    <row r="42" spans="1:12" x14ac:dyDescent="0.25">
      <c r="A42" s="194" t="s">
        <v>613</v>
      </c>
      <c r="B42" s="195" t="s">
        <v>614</v>
      </c>
      <c r="C42" s="196">
        <v>0</v>
      </c>
      <c r="D42" s="196">
        <v>57685.86</v>
      </c>
      <c r="E42" s="196">
        <v>0</v>
      </c>
      <c r="F42" s="196">
        <v>50569.06</v>
      </c>
      <c r="G42" s="196">
        <v>22036.87</v>
      </c>
      <c r="H42" s="196">
        <v>13386.29</v>
      </c>
      <c r="I42" s="196">
        <v>518454.63</v>
      </c>
      <c r="J42" s="196">
        <v>502687.25</v>
      </c>
      <c r="K42" s="196">
        <v>0</v>
      </c>
      <c r="L42" s="196">
        <v>41918.480000000003</v>
      </c>
    </row>
    <row r="43" spans="1:12" x14ac:dyDescent="0.25">
      <c r="A43" s="194" t="s">
        <v>615</v>
      </c>
      <c r="B43" s="195" t="s">
        <v>616</v>
      </c>
      <c r="C43" s="196">
        <v>0</v>
      </c>
      <c r="D43" s="196">
        <v>48157.78</v>
      </c>
      <c r="E43" s="196">
        <v>0</v>
      </c>
      <c r="F43" s="196">
        <v>43546.48</v>
      </c>
      <c r="G43" s="196">
        <v>0</v>
      </c>
      <c r="H43" s="196">
        <v>-8581.02</v>
      </c>
      <c r="I43" s="196">
        <v>0</v>
      </c>
      <c r="J43" s="196">
        <v>-13192.32</v>
      </c>
      <c r="K43" s="196">
        <v>0</v>
      </c>
      <c r="L43" s="196">
        <v>34965.46</v>
      </c>
    </row>
    <row r="44" spans="1:12" x14ac:dyDescent="0.25">
      <c r="A44" s="194" t="s">
        <v>617</v>
      </c>
      <c r="B44" s="195" t="s">
        <v>618</v>
      </c>
      <c r="C44" s="196">
        <v>57685.86</v>
      </c>
      <c r="D44" s="196">
        <v>0</v>
      </c>
      <c r="E44" s="196">
        <v>52183.23</v>
      </c>
      <c r="F44" s="196">
        <v>0</v>
      </c>
      <c r="G44" s="196">
        <v>-10264.75</v>
      </c>
      <c r="H44" s="196">
        <v>0</v>
      </c>
      <c r="I44" s="196">
        <v>-15767.38</v>
      </c>
      <c r="J44" s="196">
        <v>0</v>
      </c>
      <c r="K44" s="196">
        <v>41918.480000000003</v>
      </c>
      <c r="L44" s="196">
        <v>0</v>
      </c>
    </row>
    <row r="45" spans="1:12" x14ac:dyDescent="0.25">
      <c r="A45" s="194" t="s">
        <v>1445</v>
      </c>
      <c r="B45" s="195" t="s">
        <v>1446</v>
      </c>
      <c r="C45" s="196">
        <v>0</v>
      </c>
      <c r="D45" s="196">
        <v>0</v>
      </c>
      <c r="E45" s="196">
        <v>0</v>
      </c>
      <c r="F45" s="196">
        <v>0</v>
      </c>
      <c r="G45" s="196">
        <v>0</v>
      </c>
      <c r="H45" s="196">
        <v>0</v>
      </c>
      <c r="I45" s="196">
        <v>5367.29</v>
      </c>
      <c r="J45" s="196">
        <v>5367.29</v>
      </c>
      <c r="K45" s="196">
        <v>0</v>
      </c>
      <c r="L45" s="196">
        <v>0</v>
      </c>
    </row>
    <row r="46" spans="1:12" x14ac:dyDescent="0.25">
      <c r="A46" s="194" t="s">
        <v>619</v>
      </c>
      <c r="B46" s="195" t="s">
        <v>620</v>
      </c>
      <c r="C46" s="196">
        <v>0</v>
      </c>
      <c r="D46" s="196">
        <v>2787.66</v>
      </c>
      <c r="E46" s="196">
        <v>0</v>
      </c>
      <c r="F46" s="196">
        <v>0</v>
      </c>
      <c r="G46" s="196">
        <v>0</v>
      </c>
      <c r="H46" s="196">
        <v>3570.98</v>
      </c>
      <c r="I46" s="196">
        <v>2787.66</v>
      </c>
      <c r="J46" s="196">
        <v>3570.98</v>
      </c>
      <c r="K46" s="196">
        <v>0</v>
      </c>
      <c r="L46" s="196">
        <v>3570.98</v>
      </c>
    </row>
    <row r="47" spans="1:12" x14ac:dyDescent="0.25">
      <c r="A47" s="194" t="s">
        <v>621</v>
      </c>
      <c r="B47" s="195" t="s">
        <v>622</v>
      </c>
      <c r="C47" s="196">
        <v>0</v>
      </c>
      <c r="D47" s="196">
        <v>0</v>
      </c>
      <c r="E47" s="196">
        <v>0</v>
      </c>
      <c r="F47" s="196">
        <v>60.87</v>
      </c>
      <c r="G47" s="196">
        <v>27269.43</v>
      </c>
      <c r="H47" s="196">
        <v>27208.560000000001</v>
      </c>
      <c r="I47" s="196">
        <v>366094.15</v>
      </c>
      <c r="J47" s="196">
        <v>366094.15</v>
      </c>
      <c r="K47" s="196">
        <v>0</v>
      </c>
      <c r="L47" s="196">
        <v>0</v>
      </c>
    </row>
    <row r="48" spans="1:12" x14ac:dyDescent="0.25">
      <c r="A48" s="194" t="s">
        <v>623</v>
      </c>
      <c r="B48" s="195" t="s">
        <v>624</v>
      </c>
      <c r="C48" s="196">
        <v>0</v>
      </c>
      <c r="D48" s="196">
        <v>20318.86</v>
      </c>
      <c r="E48" s="196">
        <v>0</v>
      </c>
      <c r="F48" s="196">
        <v>24585.42</v>
      </c>
      <c r="G48" s="196">
        <v>25674.12</v>
      </c>
      <c r="H48" s="196">
        <v>21912.22</v>
      </c>
      <c r="I48" s="196">
        <v>306142.11</v>
      </c>
      <c r="J48" s="196">
        <v>306646.77</v>
      </c>
      <c r="K48" s="196">
        <v>0</v>
      </c>
      <c r="L48" s="196">
        <v>20823.52</v>
      </c>
    </row>
    <row r="49" spans="1:12" x14ac:dyDescent="0.25">
      <c r="A49" s="194" t="s">
        <v>1447</v>
      </c>
      <c r="B49" s="195" t="s">
        <v>1448</v>
      </c>
      <c r="C49" s="196">
        <v>0</v>
      </c>
      <c r="D49" s="196">
        <v>0</v>
      </c>
      <c r="E49" s="196">
        <v>0</v>
      </c>
      <c r="F49" s="196">
        <v>0</v>
      </c>
      <c r="G49" s="196">
        <v>0</v>
      </c>
      <c r="H49" s="196">
        <v>0</v>
      </c>
      <c r="I49" s="196">
        <v>754.22</v>
      </c>
      <c r="J49" s="196">
        <v>754.22</v>
      </c>
      <c r="K49" s="196">
        <v>0</v>
      </c>
      <c r="L49" s="196">
        <v>0</v>
      </c>
    </row>
    <row r="50" spans="1:12" x14ac:dyDescent="0.25">
      <c r="A50" s="194" t="s">
        <v>625</v>
      </c>
      <c r="B50" s="195" t="s">
        <v>626</v>
      </c>
      <c r="C50" s="196">
        <v>3366</v>
      </c>
      <c r="D50" s="196">
        <v>0</v>
      </c>
      <c r="E50" s="196">
        <v>3494.24</v>
      </c>
      <c r="F50" s="196">
        <v>0</v>
      </c>
      <c r="G50" s="196">
        <v>507.82</v>
      </c>
      <c r="H50" s="196">
        <v>636.05999999999995</v>
      </c>
      <c r="I50" s="196">
        <v>9596.2999999999993</v>
      </c>
      <c r="J50" s="196">
        <v>9596.2999999999993</v>
      </c>
      <c r="K50" s="196">
        <v>3366</v>
      </c>
      <c r="L50" s="196">
        <v>0</v>
      </c>
    </row>
    <row r="51" spans="1:12" x14ac:dyDescent="0.25">
      <c r="A51" s="194" t="s">
        <v>627</v>
      </c>
      <c r="B51" s="195" t="s">
        <v>628</v>
      </c>
      <c r="C51" s="196">
        <v>0</v>
      </c>
      <c r="D51" s="196">
        <v>3816.06</v>
      </c>
      <c r="E51" s="196">
        <v>0</v>
      </c>
      <c r="F51" s="196">
        <v>4095.86</v>
      </c>
      <c r="G51" s="196">
        <v>4197.3</v>
      </c>
      <c r="H51" s="196">
        <v>3622.83</v>
      </c>
      <c r="I51" s="196">
        <v>51741.11</v>
      </c>
      <c r="J51" s="196">
        <v>51446.44</v>
      </c>
      <c r="K51" s="196">
        <v>0</v>
      </c>
      <c r="L51" s="196">
        <v>3521.39</v>
      </c>
    </row>
    <row r="52" spans="1:12" x14ac:dyDescent="0.25">
      <c r="A52" s="194" t="s">
        <v>629</v>
      </c>
      <c r="B52" s="195" t="s">
        <v>140</v>
      </c>
      <c r="C52" s="196">
        <v>0</v>
      </c>
      <c r="D52" s="196">
        <v>9867.84</v>
      </c>
      <c r="E52" s="196">
        <v>0</v>
      </c>
      <c r="F52" s="196">
        <v>10784.62</v>
      </c>
      <c r="G52" s="196">
        <v>10784.62</v>
      </c>
      <c r="H52" s="196">
        <v>9148.24</v>
      </c>
      <c r="I52" s="196">
        <v>133123.95000000001</v>
      </c>
      <c r="J52" s="196">
        <v>132404.35</v>
      </c>
      <c r="K52" s="196">
        <v>0</v>
      </c>
      <c r="L52" s="196">
        <v>9148.24</v>
      </c>
    </row>
    <row r="53" spans="1:12" x14ac:dyDescent="0.25">
      <c r="A53" s="194" t="s">
        <v>630</v>
      </c>
      <c r="B53" s="195" t="s">
        <v>631</v>
      </c>
      <c r="C53" s="196">
        <v>0</v>
      </c>
      <c r="D53" s="196">
        <v>554.01</v>
      </c>
      <c r="E53" s="196">
        <v>0</v>
      </c>
      <c r="F53" s="196">
        <v>361.44</v>
      </c>
      <c r="G53" s="196">
        <v>559.54999999999995</v>
      </c>
      <c r="H53" s="196">
        <v>663.58</v>
      </c>
      <c r="I53" s="196">
        <v>7266.78</v>
      </c>
      <c r="J53" s="196">
        <v>7178.24</v>
      </c>
      <c r="K53" s="196">
        <v>0</v>
      </c>
      <c r="L53" s="196">
        <v>465.47</v>
      </c>
    </row>
    <row r="54" spans="1:12" x14ac:dyDescent="0.25">
      <c r="A54" s="194" t="s">
        <v>632</v>
      </c>
      <c r="B54" s="195" t="s">
        <v>633</v>
      </c>
      <c r="C54" s="196">
        <v>0</v>
      </c>
      <c r="D54" s="196">
        <v>19758.48</v>
      </c>
      <c r="E54" s="196">
        <v>0</v>
      </c>
      <c r="F54" s="196">
        <v>0</v>
      </c>
      <c r="G54" s="196">
        <v>0</v>
      </c>
      <c r="H54" s="196">
        <v>13398.34</v>
      </c>
      <c r="I54" s="196">
        <v>19758.48</v>
      </c>
      <c r="J54" s="196">
        <v>13398.34</v>
      </c>
      <c r="K54" s="196">
        <v>0</v>
      </c>
      <c r="L54" s="196">
        <v>13398.34</v>
      </c>
    </row>
    <row r="55" spans="1:12" x14ac:dyDescent="0.25">
      <c r="A55" s="194" t="s">
        <v>634</v>
      </c>
      <c r="B55" s="195" t="s">
        <v>635</v>
      </c>
      <c r="C55" s="196">
        <v>14669.93</v>
      </c>
      <c r="D55" s="196">
        <v>0</v>
      </c>
      <c r="E55" s="196">
        <v>18111.939999999999</v>
      </c>
      <c r="F55" s="196">
        <v>0</v>
      </c>
      <c r="G55" s="196">
        <v>1646.54</v>
      </c>
      <c r="H55" s="196">
        <v>0</v>
      </c>
      <c r="I55" s="196">
        <v>19843.91</v>
      </c>
      <c r="J55" s="196">
        <v>14755.36</v>
      </c>
      <c r="K55" s="196">
        <v>19758.48</v>
      </c>
      <c r="L55" s="196">
        <v>0</v>
      </c>
    </row>
    <row r="56" spans="1:12" x14ac:dyDescent="0.25">
      <c r="A56" s="194" t="s">
        <v>636</v>
      </c>
      <c r="B56" s="195" t="s">
        <v>637</v>
      </c>
      <c r="C56" s="196">
        <v>0</v>
      </c>
      <c r="D56" s="196">
        <v>2138.09</v>
      </c>
      <c r="E56" s="196">
        <v>0</v>
      </c>
      <c r="F56" s="196">
        <v>2452.5500000000002</v>
      </c>
      <c r="G56" s="196">
        <v>2936.24</v>
      </c>
      <c r="H56" s="196">
        <v>2565.85</v>
      </c>
      <c r="I56" s="196">
        <v>35064.550000000003</v>
      </c>
      <c r="J56" s="196">
        <v>35008.620000000003</v>
      </c>
      <c r="K56" s="196">
        <v>0</v>
      </c>
      <c r="L56" s="196">
        <v>2082.16</v>
      </c>
    </row>
    <row r="57" spans="1:12" x14ac:dyDescent="0.25">
      <c r="A57" s="194" t="s">
        <v>638</v>
      </c>
      <c r="B57" s="195" t="s">
        <v>639</v>
      </c>
      <c r="C57" s="196">
        <v>0</v>
      </c>
      <c r="D57" s="196">
        <v>28057.24</v>
      </c>
      <c r="E57" s="196">
        <v>0</v>
      </c>
      <c r="F57" s="196">
        <v>26789.88</v>
      </c>
      <c r="G57" s="196">
        <v>26789.88</v>
      </c>
      <c r="H57" s="196">
        <v>24277.49</v>
      </c>
      <c r="I57" s="196">
        <v>232497.89</v>
      </c>
      <c r="J57" s="196">
        <v>228718.14</v>
      </c>
      <c r="K57" s="196">
        <v>0</v>
      </c>
      <c r="L57" s="196">
        <v>24277.49</v>
      </c>
    </row>
    <row r="58" spans="1:12" x14ac:dyDescent="0.25">
      <c r="A58" s="194" t="s">
        <v>640</v>
      </c>
      <c r="B58" s="195" t="s">
        <v>641</v>
      </c>
      <c r="C58" s="196">
        <v>507.13</v>
      </c>
      <c r="D58" s="196">
        <v>0</v>
      </c>
      <c r="E58" s="196">
        <v>-2364.81</v>
      </c>
      <c r="F58" s="196">
        <v>0</v>
      </c>
      <c r="G58" s="196">
        <v>2542.42</v>
      </c>
      <c r="H58" s="196">
        <v>177.61</v>
      </c>
      <c r="I58" s="196">
        <v>63184.35</v>
      </c>
      <c r="J58" s="196">
        <v>63691.48</v>
      </c>
      <c r="K58" s="196">
        <v>0</v>
      </c>
      <c r="L58" s="196">
        <v>0</v>
      </c>
    </row>
    <row r="59" spans="1:12" x14ac:dyDescent="0.25">
      <c r="A59" s="194" t="s">
        <v>642</v>
      </c>
      <c r="B59" s="195" t="s">
        <v>643</v>
      </c>
      <c r="C59" s="196">
        <v>0</v>
      </c>
      <c r="D59" s="196">
        <v>0</v>
      </c>
      <c r="E59" s="196">
        <v>0</v>
      </c>
      <c r="F59" s="196">
        <v>0</v>
      </c>
      <c r="G59" s="196">
        <v>0</v>
      </c>
      <c r="H59" s="196">
        <v>0</v>
      </c>
      <c r="I59" s="196">
        <v>49.17</v>
      </c>
      <c r="J59" s="196">
        <v>49.17</v>
      </c>
      <c r="K59" s="196">
        <v>0</v>
      </c>
      <c r="L59" s="196">
        <v>0</v>
      </c>
    </row>
    <row r="60" spans="1:12" x14ac:dyDescent="0.25">
      <c r="A60" s="194" t="s">
        <v>644</v>
      </c>
      <c r="B60" s="195" t="s">
        <v>645</v>
      </c>
      <c r="C60" s="196">
        <v>0</v>
      </c>
      <c r="D60" s="196">
        <v>0</v>
      </c>
      <c r="E60" s="196">
        <v>0</v>
      </c>
      <c r="F60" s="196">
        <v>0</v>
      </c>
      <c r="G60" s="196">
        <v>4.37</v>
      </c>
      <c r="H60" s="196">
        <v>4.37</v>
      </c>
      <c r="I60" s="196">
        <v>63.32</v>
      </c>
      <c r="J60" s="196">
        <v>63.32</v>
      </c>
      <c r="K60" s="196">
        <v>0</v>
      </c>
      <c r="L60" s="196">
        <v>0</v>
      </c>
    </row>
    <row r="61" spans="1:12" x14ac:dyDescent="0.25">
      <c r="A61" s="194" t="s">
        <v>646</v>
      </c>
      <c r="B61" s="195" t="s">
        <v>647</v>
      </c>
      <c r="C61" s="196">
        <v>0</v>
      </c>
      <c r="D61" s="196">
        <v>0</v>
      </c>
      <c r="E61" s="196">
        <v>0</v>
      </c>
      <c r="F61" s="196">
        <v>-236.35</v>
      </c>
      <c r="G61" s="196">
        <v>50184.27</v>
      </c>
      <c r="H61" s="196">
        <v>50420.62</v>
      </c>
      <c r="I61" s="196">
        <v>1244784.93</v>
      </c>
      <c r="J61" s="196">
        <v>1244784.93</v>
      </c>
      <c r="K61" s="196">
        <v>0</v>
      </c>
      <c r="L61" s="196">
        <v>0</v>
      </c>
    </row>
    <row r="62" spans="1:12" x14ac:dyDescent="0.25">
      <c r="A62" s="194" t="s">
        <v>648</v>
      </c>
      <c r="B62" s="195" t="s">
        <v>649</v>
      </c>
      <c r="C62" s="196">
        <v>0</v>
      </c>
      <c r="D62" s="196">
        <v>0</v>
      </c>
      <c r="E62" s="196">
        <v>0</v>
      </c>
      <c r="F62" s="196">
        <v>0</v>
      </c>
      <c r="G62" s="196">
        <v>24848.14</v>
      </c>
      <c r="H62" s="196">
        <v>24848.14</v>
      </c>
      <c r="I62" s="196">
        <v>907968.94</v>
      </c>
      <c r="J62" s="196">
        <v>907968.94</v>
      </c>
      <c r="K62" s="196">
        <v>0</v>
      </c>
      <c r="L62" s="196">
        <v>0</v>
      </c>
    </row>
    <row r="63" spans="1:12" x14ac:dyDescent="0.25">
      <c r="A63" s="194" t="s">
        <v>650</v>
      </c>
      <c r="B63" s="195" t="s">
        <v>651</v>
      </c>
      <c r="C63" s="196">
        <v>0</v>
      </c>
      <c r="D63" s="196">
        <v>0</v>
      </c>
      <c r="E63" s="196">
        <v>0</v>
      </c>
      <c r="F63" s="196">
        <v>0</v>
      </c>
      <c r="G63" s="196">
        <v>156</v>
      </c>
      <c r="H63" s="196">
        <v>156</v>
      </c>
      <c r="I63" s="196">
        <v>1031.74</v>
      </c>
      <c r="J63" s="196">
        <v>1031.74</v>
      </c>
      <c r="K63" s="196">
        <v>0</v>
      </c>
      <c r="L63" s="196">
        <v>0</v>
      </c>
    </row>
    <row r="64" spans="1:12" x14ac:dyDescent="0.25">
      <c r="A64" s="194" t="s">
        <v>652</v>
      </c>
      <c r="B64" s="195" t="s">
        <v>653</v>
      </c>
      <c r="C64" s="196">
        <v>0</v>
      </c>
      <c r="D64" s="196">
        <v>0</v>
      </c>
      <c r="E64" s="196">
        <v>2.1800000000000002</v>
      </c>
      <c r="F64" s="196">
        <v>0</v>
      </c>
      <c r="G64" s="196">
        <v>778.88</v>
      </c>
      <c r="H64" s="196">
        <v>781.06</v>
      </c>
      <c r="I64" s="196">
        <v>107830.05</v>
      </c>
      <c r="J64" s="196">
        <v>107830.05</v>
      </c>
      <c r="K64" s="196">
        <v>0</v>
      </c>
      <c r="L64" s="196">
        <v>0</v>
      </c>
    </row>
    <row r="65" spans="1:12" x14ac:dyDescent="0.25">
      <c r="A65" s="194" t="s">
        <v>654</v>
      </c>
      <c r="B65" s="195" t="s">
        <v>655</v>
      </c>
      <c r="C65" s="196">
        <v>0</v>
      </c>
      <c r="D65" s="196">
        <v>2866.89</v>
      </c>
      <c r="E65" s="196">
        <v>0</v>
      </c>
      <c r="F65" s="196">
        <v>-2748</v>
      </c>
      <c r="G65" s="196">
        <v>916</v>
      </c>
      <c r="H65" s="196">
        <v>8220.7199999999993</v>
      </c>
      <c r="I65" s="196">
        <v>6530.89</v>
      </c>
      <c r="J65" s="196">
        <v>8220.7199999999993</v>
      </c>
      <c r="K65" s="196">
        <v>0</v>
      </c>
      <c r="L65" s="196">
        <v>4556.72</v>
      </c>
    </row>
    <row r="66" spans="1:12" x14ac:dyDescent="0.25">
      <c r="A66" s="194" t="s">
        <v>656</v>
      </c>
      <c r="B66" s="195" t="s">
        <v>657</v>
      </c>
      <c r="C66" s="196">
        <v>0</v>
      </c>
      <c r="D66" s="196">
        <v>0</v>
      </c>
      <c r="E66" s="196">
        <v>0</v>
      </c>
      <c r="F66" s="196">
        <v>0</v>
      </c>
      <c r="G66" s="196">
        <v>0</v>
      </c>
      <c r="H66" s="196">
        <v>0</v>
      </c>
      <c r="I66" s="196">
        <v>9948.15</v>
      </c>
      <c r="J66" s="196">
        <v>9948.15</v>
      </c>
      <c r="K66" s="196">
        <v>0</v>
      </c>
      <c r="L66" s="196">
        <v>0</v>
      </c>
    </row>
    <row r="67" spans="1:12" x14ac:dyDescent="0.25">
      <c r="A67" s="194" t="s">
        <v>658</v>
      </c>
      <c r="B67" s="195" t="s">
        <v>659</v>
      </c>
      <c r="C67" s="196">
        <v>0</v>
      </c>
      <c r="D67" s="196">
        <v>0</v>
      </c>
      <c r="E67" s="196">
        <v>0</v>
      </c>
      <c r="F67" s="196">
        <v>0</v>
      </c>
      <c r="G67" s="196">
        <v>0</v>
      </c>
      <c r="H67" s="196">
        <v>0</v>
      </c>
      <c r="I67" s="196">
        <v>139.15</v>
      </c>
      <c r="J67" s="196">
        <v>139.15</v>
      </c>
      <c r="K67" s="196">
        <v>0</v>
      </c>
      <c r="L67" s="196">
        <v>0</v>
      </c>
    </row>
    <row r="68" spans="1:12" x14ac:dyDescent="0.25">
      <c r="A68" s="194" t="s">
        <v>660</v>
      </c>
      <c r="B68" s="195" t="s">
        <v>661</v>
      </c>
      <c r="C68" s="196">
        <v>0</v>
      </c>
      <c r="D68" s="196">
        <v>0</v>
      </c>
      <c r="E68" s="196">
        <v>0</v>
      </c>
      <c r="F68" s="196">
        <v>0</v>
      </c>
      <c r="G68" s="196">
        <v>0</v>
      </c>
      <c r="H68" s="196">
        <v>0</v>
      </c>
      <c r="I68" s="196">
        <v>18</v>
      </c>
      <c r="J68" s="196">
        <v>18</v>
      </c>
      <c r="K68" s="196">
        <v>0</v>
      </c>
      <c r="L68" s="196">
        <v>0</v>
      </c>
    </row>
    <row r="69" spans="1:12" x14ac:dyDescent="0.25">
      <c r="A69" s="194" t="s">
        <v>662</v>
      </c>
      <c r="B69" s="195" t="s">
        <v>663</v>
      </c>
      <c r="C69" s="196">
        <v>0</v>
      </c>
      <c r="D69" s="196">
        <v>0</v>
      </c>
      <c r="E69" s="196">
        <v>0</v>
      </c>
      <c r="F69" s="196">
        <v>0</v>
      </c>
      <c r="G69" s="196">
        <v>1292.82</v>
      </c>
      <c r="H69" s="196">
        <v>1292.82</v>
      </c>
      <c r="I69" s="196">
        <v>5171.34</v>
      </c>
      <c r="J69" s="196">
        <v>5171.34</v>
      </c>
      <c r="K69" s="196">
        <v>0</v>
      </c>
      <c r="L69" s="196">
        <v>0</v>
      </c>
    </row>
    <row r="70" spans="1:12" x14ac:dyDescent="0.25">
      <c r="A70" s="194" t="s">
        <v>664</v>
      </c>
      <c r="B70" s="195" t="s">
        <v>665</v>
      </c>
      <c r="C70" s="196">
        <v>0</v>
      </c>
      <c r="D70" s="196">
        <v>7743.09</v>
      </c>
      <c r="E70" s="196">
        <v>0</v>
      </c>
      <c r="F70" s="196">
        <v>29339.19</v>
      </c>
      <c r="G70" s="196">
        <v>0</v>
      </c>
      <c r="H70" s="196">
        <v>0</v>
      </c>
      <c r="I70" s="196">
        <v>10765.9</v>
      </c>
      <c r="J70" s="196">
        <v>32362</v>
      </c>
      <c r="K70" s="196">
        <v>0</v>
      </c>
      <c r="L70" s="196">
        <v>29339.19</v>
      </c>
    </row>
    <row r="71" spans="1:12" x14ac:dyDescent="0.25">
      <c r="A71" s="194" t="s">
        <v>666</v>
      </c>
      <c r="B71" s="195" t="s">
        <v>667</v>
      </c>
      <c r="C71" s="196">
        <v>0</v>
      </c>
      <c r="D71" s="196">
        <v>2090.17</v>
      </c>
      <c r="E71" s="196">
        <v>0</v>
      </c>
      <c r="F71" s="196">
        <v>0</v>
      </c>
      <c r="G71" s="196">
        <v>1532.7</v>
      </c>
      <c r="H71" s="196">
        <v>2621.4</v>
      </c>
      <c r="I71" s="196">
        <v>39224.620000000003</v>
      </c>
      <c r="J71" s="196">
        <v>38223.15</v>
      </c>
      <c r="K71" s="196">
        <v>0</v>
      </c>
      <c r="L71" s="196">
        <v>1088.7</v>
      </c>
    </row>
    <row r="72" spans="1:12" x14ac:dyDescent="0.25">
      <c r="A72" s="194" t="s">
        <v>668</v>
      </c>
      <c r="B72" s="195" t="s">
        <v>128</v>
      </c>
      <c r="C72" s="196">
        <v>33474.129999999997</v>
      </c>
      <c r="D72" s="196">
        <v>0</v>
      </c>
      <c r="E72" s="196">
        <v>517.39</v>
      </c>
      <c r="F72" s="196">
        <v>0</v>
      </c>
      <c r="G72" s="196">
        <v>56692.95</v>
      </c>
      <c r="H72" s="196">
        <v>63.81</v>
      </c>
      <c r="I72" s="196">
        <v>26412.43</v>
      </c>
      <c r="J72" s="196">
        <v>2740.03</v>
      </c>
      <c r="K72" s="196">
        <v>57146.53</v>
      </c>
      <c r="L72" s="196">
        <v>0</v>
      </c>
    </row>
    <row r="73" spans="1:12" x14ac:dyDescent="0.25">
      <c r="A73" s="194" t="s">
        <v>1449</v>
      </c>
      <c r="B73" s="195" t="s">
        <v>1450</v>
      </c>
      <c r="C73" s="196">
        <v>2220.6999999999998</v>
      </c>
      <c r="D73" s="196">
        <v>0</v>
      </c>
      <c r="E73" s="196">
        <v>8098.99</v>
      </c>
      <c r="F73" s="196">
        <v>0</v>
      </c>
      <c r="G73" s="196">
        <v>0</v>
      </c>
      <c r="H73" s="196">
        <v>8098.99</v>
      </c>
      <c r="I73" s="196">
        <v>5878.29</v>
      </c>
      <c r="J73" s="196">
        <v>8098.99</v>
      </c>
      <c r="K73" s="196">
        <v>0</v>
      </c>
      <c r="L73" s="196">
        <v>0</v>
      </c>
    </row>
    <row r="74" spans="1:12" x14ac:dyDescent="0.25">
      <c r="A74" s="194" t="s">
        <v>669</v>
      </c>
      <c r="B74" s="195" t="s">
        <v>670</v>
      </c>
      <c r="C74" s="196">
        <v>0</v>
      </c>
      <c r="D74" s="196">
        <v>857.08</v>
      </c>
      <c r="E74" s="196">
        <v>0</v>
      </c>
      <c r="F74" s="196">
        <v>160.58000000000001</v>
      </c>
      <c r="G74" s="196">
        <v>60.58</v>
      </c>
      <c r="H74" s="196">
        <v>0</v>
      </c>
      <c r="I74" s="196">
        <v>857.08</v>
      </c>
      <c r="J74" s="196">
        <v>100</v>
      </c>
      <c r="K74" s="196">
        <v>0</v>
      </c>
      <c r="L74" s="196">
        <v>100</v>
      </c>
    </row>
    <row r="75" spans="1:12" x14ac:dyDescent="0.25">
      <c r="A75" s="194" t="s">
        <v>671</v>
      </c>
      <c r="B75" s="195" t="s">
        <v>672</v>
      </c>
      <c r="C75" s="196">
        <v>0</v>
      </c>
      <c r="D75" s="196">
        <v>0</v>
      </c>
      <c r="E75" s="196">
        <v>0</v>
      </c>
      <c r="F75" s="196">
        <v>136.54</v>
      </c>
      <c r="G75" s="196">
        <v>136.54</v>
      </c>
      <c r="H75" s="196">
        <v>0</v>
      </c>
      <c r="I75" s="196">
        <v>837.85</v>
      </c>
      <c r="J75" s="196">
        <v>837.85</v>
      </c>
      <c r="K75" s="196">
        <v>0</v>
      </c>
      <c r="L75" s="196">
        <v>0</v>
      </c>
    </row>
    <row r="76" spans="1:12" x14ac:dyDescent="0.25">
      <c r="A76" s="194" t="s">
        <v>673</v>
      </c>
      <c r="B76" s="195" t="s">
        <v>674</v>
      </c>
      <c r="C76" s="196">
        <v>4796.5600000000004</v>
      </c>
      <c r="D76" s="196">
        <v>0</v>
      </c>
      <c r="E76" s="196">
        <v>3507.95</v>
      </c>
      <c r="F76" s="196">
        <v>0</v>
      </c>
      <c r="G76" s="196">
        <v>1317.49</v>
      </c>
      <c r="H76" s="196">
        <v>0</v>
      </c>
      <c r="I76" s="196">
        <v>4825.4399999999996</v>
      </c>
      <c r="J76" s="196">
        <v>4796.5600000000004</v>
      </c>
      <c r="K76" s="196">
        <v>4825.4399999999996</v>
      </c>
      <c r="L76" s="196">
        <v>0</v>
      </c>
    </row>
    <row r="77" spans="1:12" x14ac:dyDescent="0.25">
      <c r="A77" s="194" t="s">
        <v>675</v>
      </c>
      <c r="B77" s="195" t="s">
        <v>676</v>
      </c>
      <c r="C77" s="196">
        <v>158.97999999999999</v>
      </c>
      <c r="D77" s="196">
        <v>0</v>
      </c>
      <c r="E77" s="196">
        <v>0</v>
      </c>
      <c r="F77" s="196">
        <v>0</v>
      </c>
      <c r="G77" s="196">
        <v>104.78</v>
      </c>
      <c r="H77" s="196">
        <v>0</v>
      </c>
      <c r="I77" s="196">
        <v>104.78</v>
      </c>
      <c r="J77" s="196">
        <v>158.97999999999999</v>
      </c>
      <c r="K77" s="196">
        <v>104.78</v>
      </c>
      <c r="L77" s="196">
        <v>0</v>
      </c>
    </row>
    <row r="78" spans="1:12" x14ac:dyDescent="0.25">
      <c r="A78" s="194" t="s">
        <v>677</v>
      </c>
      <c r="B78" s="195" t="s">
        <v>678</v>
      </c>
      <c r="C78" s="196">
        <v>0</v>
      </c>
      <c r="D78" s="196">
        <v>3551.75</v>
      </c>
      <c r="E78" s="196">
        <v>0</v>
      </c>
      <c r="F78" s="196">
        <v>3551.75</v>
      </c>
      <c r="G78" s="196">
        <v>0</v>
      </c>
      <c r="H78" s="196">
        <v>0</v>
      </c>
      <c r="I78" s="196">
        <v>0</v>
      </c>
      <c r="J78" s="196">
        <v>0</v>
      </c>
      <c r="K78" s="196">
        <v>0</v>
      </c>
      <c r="L78" s="196">
        <v>3551.75</v>
      </c>
    </row>
    <row r="79" spans="1:12" x14ac:dyDescent="0.25">
      <c r="A79" s="194" t="s">
        <v>679</v>
      </c>
      <c r="B79" s="195" t="s">
        <v>680</v>
      </c>
      <c r="C79" s="196">
        <v>0</v>
      </c>
      <c r="D79" s="196">
        <v>79995.13</v>
      </c>
      <c r="E79" s="196">
        <v>0</v>
      </c>
      <c r="F79" s="196">
        <v>74779.520000000004</v>
      </c>
      <c r="G79" s="196">
        <v>0</v>
      </c>
      <c r="H79" s="196">
        <v>0</v>
      </c>
      <c r="I79" s="196">
        <v>11545.31</v>
      </c>
      <c r="J79" s="196">
        <v>6329.7</v>
      </c>
      <c r="K79" s="196">
        <v>0</v>
      </c>
      <c r="L79" s="196">
        <v>74779.520000000004</v>
      </c>
    </row>
    <row r="80" spans="1:12" x14ac:dyDescent="0.25">
      <c r="A80" s="194" t="s">
        <v>681</v>
      </c>
      <c r="B80" s="195" t="s">
        <v>682</v>
      </c>
      <c r="C80" s="196">
        <v>0</v>
      </c>
      <c r="D80" s="196">
        <v>2762.8</v>
      </c>
      <c r="E80" s="196">
        <v>0</v>
      </c>
      <c r="F80" s="196">
        <v>2762.8</v>
      </c>
      <c r="G80" s="196">
        <v>0</v>
      </c>
      <c r="H80" s="196">
        <v>0</v>
      </c>
      <c r="I80" s="196">
        <v>0</v>
      </c>
      <c r="J80" s="196">
        <v>0</v>
      </c>
      <c r="K80" s="196">
        <v>0</v>
      </c>
      <c r="L80" s="196">
        <v>2762.8</v>
      </c>
    </row>
    <row r="81" spans="1:12" x14ac:dyDescent="0.25">
      <c r="A81" s="194" t="s">
        <v>1451</v>
      </c>
      <c r="B81" s="195" t="s">
        <v>1452</v>
      </c>
      <c r="C81" s="196">
        <v>0</v>
      </c>
      <c r="D81" s="196">
        <v>0</v>
      </c>
      <c r="E81" s="196">
        <v>0</v>
      </c>
      <c r="F81" s="196">
        <v>0</v>
      </c>
      <c r="G81" s="196">
        <v>0</v>
      </c>
      <c r="H81" s="196">
        <v>0</v>
      </c>
      <c r="I81" s="196">
        <v>0</v>
      </c>
      <c r="J81" s="196">
        <v>0</v>
      </c>
      <c r="K81" s="196">
        <v>0</v>
      </c>
      <c r="L81" s="196">
        <v>0</v>
      </c>
    </row>
    <row r="82" spans="1:12" x14ac:dyDescent="0.25">
      <c r="A82" s="194" t="s">
        <v>683</v>
      </c>
      <c r="B82" s="195" t="s">
        <v>684</v>
      </c>
      <c r="C82" s="196">
        <v>0</v>
      </c>
      <c r="D82" s="196">
        <v>0</v>
      </c>
      <c r="E82" s="196">
        <v>20011.150000000001</v>
      </c>
      <c r="F82" s="196">
        <v>0</v>
      </c>
      <c r="G82" s="196">
        <v>19673.8</v>
      </c>
      <c r="H82" s="196">
        <v>39684.949999999997</v>
      </c>
      <c r="I82" s="196">
        <v>403457.72</v>
      </c>
      <c r="J82" s="196">
        <v>403457.72</v>
      </c>
      <c r="K82" s="196">
        <v>0</v>
      </c>
      <c r="L82" s="196">
        <v>0</v>
      </c>
    </row>
    <row r="83" spans="1:12" x14ac:dyDescent="0.25">
      <c r="A83" s="194" t="s">
        <v>685</v>
      </c>
      <c r="B83" s="195" t="s">
        <v>393</v>
      </c>
      <c r="C83" s="196">
        <v>0</v>
      </c>
      <c r="D83" s="196">
        <v>102902</v>
      </c>
      <c r="E83" s="196">
        <v>0</v>
      </c>
      <c r="F83" s="196">
        <v>102902</v>
      </c>
      <c r="G83" s="196">
        <v>0</v>
      </c>
      <c r="H83" s="196">
        <v>0</v>
      </c>
      <c r="I83" s="196">
        <v>0</v>
      </c>
      <c r="J83" s="196">
        <v>0</v>
      </c>
      <c r="K83" s="196">
        <v>0</v>
      </c>
      <c r="L83" s="196">
        <v>102902</v>
      </c>
    </row>
    <row r="84" spans="1:12" x14ac:dyDescent="0.25">
      <c r="A84" s="194" t="s">
        <v>686</v>
      </c>
      <c r="B84" s="195" t="s">
        <v>399</v>
      </c>
      <c r="C84" s="196">
        <v>0</v>
      </c>
      <c r="D84" s="196">
        <v>15524.4</v>
      </c>
      <c r="E84" s="196">
        <v>0</v>
      </c>
      <c r="F84" s="196">
        <v>15524.4</v>
      </c>
      <c r="G84" s="196">
        <v>0</v>
      </c>
      <c r="H84" s="196">
        <v>0</v>
      </c>
      <c r="I84" s="196">
        <v>0</v>
      </c>
      <c r="J84" s="196">
        <v>0</v>
      </c>
      <c r="K84" s="196">
        <v>0</v>
      </c>
      <c r="L84" s="196">
        <v>15524.4</v>
      </c>
    </row>
    <row r="85" spans="1:12" x14ac:dyDescent="0.25">
      <c r="A85" s="194" t="s">
        <v>687</v>
      </c>
      <c r="B85" s="195" t="s">
        <v>402</v>
      </c>
      <c r="C85" s="196">
        <v>0</v>
      </c>
      <c r="D85" s="196">
        <v>691835.23</v>
      </c>
      <c r="E85" s="196">
        <v>0</v>
      </c>
      <c r="F85" s="196">
        <v>787255.31</v>
      </c>
      <c r="G85" s="196">
        <v>0</v>
      </c>
      <c r="H85" s="196">
        <v>0</v>
      </c>
      <c r="I85" s="196">
        <v>0</v>
      </c>
      <c r="J85" s="196">
        <v>95420.08</v>
      </c>
      <c r="K85" s="196">
        <v>0</v>
      </c>
      <c r="L85" s="196">
        <v>787255.31</v>
      </c>
    </row>
    <row r="86" spans="1:12" x14ac:dyDescent="0.25">
      <c r="A86" s="194" t="s">
        <v>688</v>
      </c>
      <c r="B86" s="195" t="s">
        <v>689</v>
      </c>
      <c r="C86" s="196">
        <v>0</v>
      </c>
      <c r="D86" s="196">
        <v>95420.08</v>
      </c>
      <c r="E86" s="196">
        <v>0</v>
      </c>
      <c r="F86" s="196">
        <v>0</v>
      </c>
      <c r="G86" s="196">
        <v>0</v>
      </c>
      <c r="H86" s="196">
        <v>0</v>
      </c>
      <c r="I86" s="196">
        <v>95420.08</v>
      </c>
      <c r="J86" s="196">
        <v>0</v>
      </c>
      <c r="K86" s="196">
        <v>0</v>
      </c>
      <c r="L86" s="196">
        <v>0</v>
      </c>
    </row>
    <row r="87" spans="1:12" x14ac:dyDescent="0.25">
      <c r="A87" s="194" t="s">
        <v>690</v>
      </c>
      <c r="B87" s="195" t="s">
        <v>691</v>
      </c>
      <c r="C87" s="196">
        <v>0</v>
      </c>
      <c r="D87" s="196">
        <v>565790.56000000006</v>
      </c>
      <c r="E87" s="196">
        <v>0</v>
      </c>
      <c r="F87" s="196">
        <v>565790.56000000006</v>
      </c>
      <c r="G87" s="196">
        <v>66520.56</v>
      </c>
      <c r="H87" s="196">
        <v>0</v>
      </c>
      <c r="I87" s="196">
        <v>66520.56</v>
      </c>
      <c r="J87" s="196">
        <v>0</v>
      </c>
      <c r="K87" s="196">
        <v>0</v>
      </c>
      <c r="L87" s="196">
        <v>499270</v>
      </c>
    </row>
    <row r="88" spans="1:12" x14ac:dyDescent="0.25">
      <c r="A88" s="194" t="s">
        <v>692</v>
      </c>
      <c r="B88" s="195" t="s">
        <v>693</v>
      </c>
      <c r="C88" s="196">
        <v>0</v>
      </c>
      <c r="D88" s="196">
        <v>116520.56</v>
      </c>
      <c r="E88" s="196">
        <v>0</v>
      </c>
      <c r="F88" s="196">
        <v>18043.38</v>
      </c>
      <c r="G88" s="196">
        <v>18043.38</v>
      </c>
      <c r="H88" s="196">
        <v>66520.56</v>
      </c>
      <c r="I88" s="196">
        <v>116520.56</v>
      </c>
      <c r="J88" s="196">
        <v>66520.56</v>
      </c>
      <c r="K88" s="196">
        <v>0</v>
      </c>
      <c r="L88" s="196">
        <v>66520.56</v>
      </c>
    </row>
    <row r="89" spans="1:12" x14ac:dyDescent="0.25">
      <c r="A89" s="194" t="s">
        <v>694</v>
      </c>
      <c r="B89" s="195" t="s">
        <v>695</v>
      </c>
      <c r="C89" s="196">
        <v>0</v>
      </c>
      <c r="D89" s="196">
        <v>4587.95</v>
      </c>
      <c r="E89" s="196">
        <v>0</v>
      </c>
      <c r="F89" s="196">
        <v>5235.38</v>
      </c>
      <c r="G89" s="196">
        <v>41.24</v>
      </c>
      <c r="H89" s="196">
        <v>157.07</v>
      </c>
      <c r="I89" s="196">
        <v>1316.09</v>
      </c>
      <c r="J89" s="196">
        <v>2079.35</v>
      </c>
      <c r="K89" s="196">
        <v>0</v>
      </c>
      <c r="L89" s="196">
        <v>5351.21</v>
      </c>
    </row>
    <row r="90" spans="1:12" x14ac:dyDescent="0.25">
      <c r="A90" s="194" t="s">
        <v>696</v>
      </c>
      <c r="B90" s="195" t="s">
        <v>697</v>
      </c>
      <c r="C90" s="196">
        <v>0</v>
      </c>
      <c r="D90" s="196">
        <v>46934.6</v>
      </c>
      <c r="E90" s="196">
        <v>0</v>
      </c>
      <c r="F90" s="196">
        <v>0</v>
      </c>
      <c r="G90" s="196">
        <v>0</v>
      </c>
      <c r="H90" s="196">
        <v>31577.29</v>
      </c>
      <c r="I90" s="196">
        <v>33.19</v>
      </c>
      <c r="J90" s="196">
        <v>-15324.12</v>
      </c>
      <c r="K90" s="196">
        <v>0</v>
      </c>
      <c r="L90" s="196">
        <v>31577.29</v>
      </c>
    </row>
    <row r="91" spans="1:12" x14ac:dyDescent="0.25">
      <c r="A91" s="194" t="s">
        <v>1453</v>
      </c>
      <c r="B91" s="195" t="s">
        <v>1454</v>
      </c>
      <c r="C91" s="196">
        <v>0</v>
      </c>
      <c r="D91" s="196">
        <v>0</v>
      </c>
      <c r="E91" s="196">
        <v>0</v>
      </c>
      <c r="F91" s="196">
        <v>550.99</v>
      </c>
      <c r="G91" s="196">
        <v>1172.45</v>
      </c>
      <c r="H91" s="196">
        <v>621.46</v>
      </c>
      <c r="I91" s="196">
        <v>13454.34</v>
      </c>
      <c r="J91" s="196">
        <v>13454.34</v>
      </c>
      <c r="K91" s="196">
        <v>0</v>
      </c>
      <c r="L91" s="196">
        <v>0</v>
      </c>
    </row>
    <row r="92" spans="1:12" x14ac:dyDescent="0.25">
      <c r="A92" s="194" t="s">
        <v>698</v>
      </c>
      <c r="B92" s="195" t="s">
        <v>699</v>
      </c>
      <c r="C92" s="196">
        <v>0</v>
      </c>
      <c r="D92" s="196">
        <v>56392.36</v>
      </c>
      <c r="E92" s="196">
        <v>0</v>
      </c>
      <c r="F92" s="196">
        <v>58366.6</v>
      </c>
      <c r="G92" s="196">
        <v>29106.73</v>
      </c>
      <c r="H92" s="196">
        <v>2823.19</v>
      </c>
      <c r="I92" s="196">
        <v>81371.37</v>
      </c>
      <c r="J92" s="196">
        <v>57062.07</v>
      </c>
      <c r="K92" s="196">
        <v>0</v>
      </c>
      <c r="L92" s="196">
        <v>32083.06</v>
      </c>
    </row>
    <row r="93" spans="1:12" x14ac:dyDescent="0.25">
      <c r="A93" s="194" t="s">
        <v>700</v>
      </c>
      <c r="B93" s="195" t="s">
        <v>701</v>
      </c>
      <c r="C93" s="196">
        <v>0</v>
      </c>
      <c r="D93" s="196">
        <v>21734.61</v>
      </c>
      <c r="E93" s="196">
        <v>0</v>
      </c>
      <c r="F93" s="196">
        <v>22321.63</v>
      </c>
      <c r="G93" s="196">
        <v>8822.5400000000009</v>
      </c>
      <c r="H93" s="196">
        <v>967.53</v>
      </c>
      <c r="I93" s="196">
        <v>25739.52</v>
      </c>
      <c r="J93" s="196">
        <v>18471.53</v>
      </c>
      <c r="K93" s="196">
        <v>0</v>
      </c>
      <c r="L93" s="196">
        <v>14466.62</v>
      </c>
    </row>
    <row r="94" spans="1:12" x14ac:dyDescent="0.25">
      <c r="A94" s="194" t="s">
        <v>1455</v>
      </c>
      <c r="B94" s="195" t="s">
        <v>1456</v>
      </c>
      <c r="C94" s="196">
        <v>0</v>
      </c>
      <c r="D94" s="196">
        <v>0</v>
      </c>
      <c r="E94" s="196">
        <v>0</v>
      </c>
      <c r="F94" s="196">
        <v>0</v>
      </c>
      <c r="G94" s="196">
        <v>0</v>
      </c>
      <c r="H94" s="196">
        <v>0</v>
      </c>
      <c r="I94" s="196">
        <v>25003.040000000001</v>
      </c>
      <c r="J94" s="196">
        <v>25003.040000000001</v>
      </c>
      <c r="K94" s="196">
        <v>0</v>
      </c>
      <c r="L94" s="196">
        <v>0</v>
      </c>
    </row>
    <row r="95" spans="1:12" x14ac:dyDescent="0.25">
      <c r="A95" s="194" t="s">
        <v>1457</v>
      </c>
      <c r="B95" s="195" t="s">
        <v>1458</v>
      </c>
      <c r="C95" s="196">
        <v>0</v>
      </c>
      <c r="D95" s="196">
        <v>76555.14</v>
      </c>
      <c r="E95" s="196">
        <v>0</v>
      </c>
      <c r="F95" s="196">
        <v>60055.14</v>
      </c>
      <c r="G95" s="196">
        <v>60055.14</v>
      </c>
      <c r="H95" s="196">
        <v>0</v>
      </c>
      <c r="I95" s="196">
        <v>76555.14</v>
      </c>
      <c r="J95" s="196">
        <v>0</v>
      </c>
      <c r="K95" s="196">
        <v>0</v>
      </c>
      <c r="L95" s="196">
        <v>0</v>
      </c>
    </row>
    <row r="96" spans="1:12" x14ac:dyDescent="0.25">
      <c r="A96" s="194" t="s">
        <v>702</v>
      </c>
      <c r="B96" s="195" t="s">
        <v>703</v>
      </c>
      <c r="C96" s="196">
        <v>0</v>
      </c>
      <c r="D96" s="196">
        <v>16558.96</v>
      </c>
      <c r="E96" s="196">
        <v>0</v>
      </c>
      <c r="F96" s="196">
        <v>16558.96</v>
      </c>
      <c r="G96" s="196">
        <v>0</v>
      </c>
      <c r="H96" s="196">
        <v>7429.65</v>
      </c>
      <c r="I96" s="196">
        <v>0</v>
      </c>
      <c r="J96" s="196">
        <v>7429.65</v>
      </c>
      <c r="K96" s="196">
        <v>0</v>
      </c>
      <c r="L96" s="196">
        <v>23988.61</v>
      </c>
    </row>
    <row r="97" spans="1:12" x14ac:dyDescent="0.25">
      <c r="A97" s="194" t="s">
        <v>704</v>
      </c>
      <c r="B97" s="195" t="s">
        <v>705</v>
      </c>
      <c r="C97" s="196">
        <v>0</v>
      </c>
      <c r="D97" s="196">
        <v>0</v>
      </c>
      <c r="E97" s="196">
        <v>25735.06</v>
      </c>
      <c r="F97" s="196">
        <v>0</v>
      </c>
      <c r="G97" s="196">
        <v>18571.7</v>
      </c>
      <c r="H97" s="196">
        <v>0</v>
      </c>
      <c r="I97" s="196">
        <v>44306.76</v>
      </c>
      <c r="J97" s="196">
        <v>0</v>
      </c>
      <c r="K97" s="196">
        <v>44306.76</v>
      </c>
      <c r="L97" s="196">
        <v>0</v>
      </c>
    </row>
    <row r="98" spans="1:12" x14ac:dyDescent="0.25">
      <c r="A98" s="194" t="s">
        <v>706</v>
      </c>
      <c r="B98" s="195" t="s">
        <v>707</v>
      </c>
      <c r="C98" s="196">
        <v>0</v>
      </c>
      <c r="D98" s="196">
        <v>0</v>
      </c>
      <c r="E98" s="196">
        <v>1314.2</v>
      </c>
      <c r="F98" s="196">
        <v>0</v>
      </c>
      <c r="G98" s="196">
        <v>71.2</v>
      </c>
      <c r="H98" s="196">
        <v>0</v>
      </c>
      <c r="I98" s="196">
        <v>1385.4</v>
      </c>
      <c r="J98" s="196">
        <v>0</v>
      </c>
      <c r="K98" s="196">
        <v>1385.4</v>
      </c>
      <c r="L98" s="196">
        <v>0</v>
      </c>
    </row>
    <row r="99" spans="1:12" x14ac:dyDescent="0.25">
      <c r="A99" s="194" t="s">
        <v>708</v>
      </c>
      <c r="B99" s="195" t="s">
        <v>709</v>
      </c>
      <c r="C99" s="196">
        <v>0</v>
      </c>
      <c r="D99" s="196">
        <v>0</v>
      </c>
      <c r="E99" s="196">
        <v>70919.600000000006</v>
      </c>
      <c r="F99" s="196">
        <v>0</v>
      </c>
      <c r="G99" s="196">
        <v>5197.6000000000004</v>
      </c>
      <c r="H99" s="196">
        <v>0</v>
      </c>
      <c r="I99" s="196">
        <v>76117.2</v>
      </c>
      <c r="J99" s="196">
        <v>0</v>
      </c>
      <c r="K99" s="196">
        <v>76117.2</v>
      </c>
      <c r="L99" s="196">
        <v>0</v>
      </c>
    </row>
    <row r="100" spans="1:12" x14ac:dyDescent="0.25">
      <c r="A100" s="194" t="s">
        <v>710</v>
      </c>
      <c r="B100" s="195" t="s">
        <v>711</v>
      </c>
      <c r="C100" s="196">
        <v>0</v>
      </c>
      <c r="D100" s="196">
        <v>0</v>
      </c>
      <c r="E100" s="196">
        <v>622.04</v>
      </c>
      <c r="F100" s="196">
        <v>0</v>
      </c>
      <c r="G100" s="196">
        <v>153.53</v>
      </c>
      <c r="H100" s="196">
        <v>0</v>
      </c>
      <c r="I100" s="196">
        <v>775.57</v>
      </c>
      <c r="J100" s="196">
        <v>0</v>
      </c>
      <c r="K100" s="196">
        <v>775.57</v>
      </c>
      <c r="L100" s="196">
        <v>0</v>
      </c>
    </row>
    <row r="101" spans="1:12" x14ac:dyDescent="0.25">
      <c r="A101" s="194" t="s">
        <v>712</v>
      </c>
      <c r="B101" s="195" t="s">
        <v>713</v>
      </c>
      <c r="C101" s="196">
        <v>0</v>
      </c>
      <c r="D101" s="196">
        <v>0</v>
      </c>
      <c r="E101" s="196">
        <v>9553.82</v>
      </c>
      <c r="F101" s="196">
        <v>0</v>
      </c>
      <c r="G101" s="196">
        <v>602.67999999999995</v>
      </c>
      <c r="H101" s="196">
        <v>0</v>
      </c>
      <c r="I101" s="196">
        <v>10156.5</v>
      </c>
      <c r="J101" s="196">
        <v>0</v>
      </c>
      <c r="K101" s="196">
        <v>10156.5</v>
      </c>
      <c r="L101" s="196">
        <v>0</v>
      </c>
    </row>
    <row r="102" spans="1:12" x14ac:dyDescent="0.25">
      <c r="A102" s="194" t="s">
        <v>714</v>
      </c>
      <c r="B102" s="195" t="s">
        <v>715</v>
      </c>
      <c r="C102" s="196">
        <v>0</v>
      </c>
      <c r="D102" s="196">
        <v>0</v>
      </c>
      <c r="E102" s="196">
        <v>5300.52</v>
      </c>
      <c r="F102" s="196">
        <v>0</v>
      </c>
      <c r="G102" s="196">
        <v>1238.1500000000001</v>
      </c>
      <c r="H102" s="196">
        <v>0</v>
      </c>
      <c r="I102" s="196">
        <v>6672.95</v>
      </c>
      <c r="J102" s="196">
        <v>134.28</v>
      </c>
      <c r="K102" s="196">
        <v>6538.67</v>
      </c>
      <c r="L102" s="196">
        <v>0</v>
      </c>
    </row>
    <row r="103" spans="1:12" x14ac:dyDescent="0.25">
      <c r="A103" s="194" t="s">
        <v>1440</v>
      </c>
      <c r="B103" s="195" t="s">
        <v>1441</v>
      </c>
      <c r="C103" s="196">
        <v>0</v>
      </c>
      <c r="D103" s="196">
        <v>0</v>
      </c>
      <c r="E103" s="196">
        <v>0</v>
      </c>
      <c r="F103" s="196">
        <v>0</v>
      </c>
      <c r="G103" s="196">
        <v>17257.71</v>
      </c>
      <c r="H103" s="196">
        <v>0</v>
      </c>
      <c r="I103" s="196">
        <v>17257.71</v>
      </c>
      <c r="J103" s="196">
        <v>0</v>
      </c>
      <c r="K103" s="196">
        <v>17257.71</v>
      </c>
      <c r="L103" s="196">
        <v>0</v>
      </c>
    </row>
    <row r="104" spans="1:12" x14ac:dyDescent="0.25">
      <c r="A104" s="194" t="s">
        <v>716</v>
      </c>
      <c r="B104" s="195" t="s">
        <v>717</v>
      </c>
      <c r="C104" s="196">
        <v>0</v>
      </c>
      <c r="D104" s="196">
        <v>0</v>
      </c>
      <c r="E104" s="196">
        <v>528.38</v>
      </c>
      <c r="F104" s="196">
        <v>0</v>
      </c>
      <c r="G104" s="196">
        <v>286.97000000000003</v>
      </c>
      <c r="H104" s="196">
        <v>0</v>
      </c>
      <c r="I104" s="196">
        <v>815.35</v>
      </c>
      <c r="J104" s="196">
        <v>0</v>
      </c>
      <c r="K104" s="196">
        <v>815.35</v>
      </c>
      <c r="L104" s="196">
        <v>0</v>
      </c>
    </row>
    <row r="105" spans="1:12" x14ac:dyDescent="0.25">
      <c r="A105" s="194" t="s">
        <v>718</v>
      </c>
      <c r="B105" s="195" t="s">
        <v>719</v>
      </c>
      <c r="C105" s="196">
        <v>0</v>
      </c>
      <c r="D105" s="196">
        <v>0</v>
      </c>
      <c r="E105" s="196">
        <v>4190849.3</v>
      </c>
      <c r="F105" s="196">
        <v>0</v>
      </c>
      <c r="G105" s="196">
        <v>179652.62</v>
      </c>
      <c r="H105" s="196">
        <v>0</v>
      </c>
      <c r="I105" s="196">
        <v>4370501.92</v>
      </c>
      <c r="J105" s="196">
        <v>0</v>
      </c>
      <c r="K105" s="196">
        <v>4370501.92</v>
      </c>
      <c r="L105" s="196">
        <v>0</v>
      </c>
    </row>
    <row r="106" spans="1:12" x14ac:dyDescent="0.25">
      <c r="A106" s="194" t="s">
        <v>720</v>
      </c>
      <c r="B106" s="195" t="s">
        <v>721</v>
      </c>
      <c r="C106" s="196">
        <v>0</v>
      </c>
      <c r="D106" s="196">
        <v>0</v>
      </c>
      <c r="E106" s="196">
        <v>-10472.11</v>
      </c>
      <c r="F106" s="196">
        <v>0</v>
      </c>
      <c r="G106" s="196">
        <v>-17912.68</v>
      </c>
      <c r="H106" s="196">
        <v>55400.13</v>
      </c>
      <c r="I106" s="196">
        <v>-28384.79</v>
      </c>
      <c r="J106" s="196">
        <v>55400.13</v>
      </c>
      <c r="K106" s="196">
        <v>-83784.92</v>
      </c>
      <c r="L106" s="196">
        <v>0</v>
      </c>
    </row>
    <row r="107" spans="1:12" x14ac:dyDescent="0.25">
      <c r="A107" s="194" t="s">
        <v>722</v>
      </c>
      <c r="B107" s="195" t="s">
        <v>723</v>
      </c>
      <c r="C107" s="196">
        <v>0</v>
      </c>
      <c r="D107" s="196">
        <v>0</v>
      </c>
      <c r="E107" s="196">
        <v>30775.42</v>
      </c>
      <c r="F107" s="196">
        <v>0</v>
      </c>
      <c r="G107" s="196">
        <v>-15470.69</v>
      </c>
      <c r="H107" s="196">
        <v>0</v>
      </c>
      <c r="I107" s="196">
        <v>15304.73</v>
      </c>
      <c r="J107" s="196">
        <v>0</v>
      </c>
      <c r="K107" s="196">
        <v>15304.73</v>
      </c>
      <c r="L107" s="196">
        <v>0</v>
      </c>
    </row>
    <row r="108" spans="1:12" x14ac:dyDescent="0.25">
      <c r="A108" s="194" t="s">
        <v>724</v>
      </c>
      <c r="B108" s="195" t="s">
        <v>725</v>
      </c>
      <c r="C108" s="196">
        <v>0</v>
      </c>
      <c r="D108" s="196">
        <v>0</v>
      </c>
      <c r="E108" s="196">
        <v>31379.73</v>
      </c>
      <c r="F108" s="196">
        <v>0</v>
      </c>
      <c r="G108" s="196">
        <v>2817.38</v>
      </c>
      <c r="H108" s="196">
        <v>0</v>
      </c>
      <c r="I108" s="196">
        <v>34197.11</v>
      </c>
      <c r="J108" s="196">
        <v>0</v>
      </c>
      <c r="K108" s="196">
        <v>34197.11</v>
      </c>
      <c r="L108" s="196">
        <v>0</v>
      </c>
    </row>
    <row r="109" spans="1:12" x14ac:dyDescent="0.25">
      <c r="A109" s="194" t="s">
        <v>726</v>
      </c>
      <c r="B109" s="195" t="s">
        <v>727</v>
      </c>
      <c r="C109" s="196">
        <v>0</v>
      </c>
      <c r="D109" s="196">
        <v>0</v>
      </c>
      <c r="E109" s="196">
        <v>11150.2</v>
      </c>
      <c r="F109" s="196">
        <v>0</v>
      </c>
      <c r="G109" s="196">
        <v>1791.17</v>
      </c>
      <c r="H109" s="196">
        <v>0</v>
      </c>
      <c r="I109" s="196">
        <v>12941.37</v>
      </c>
      <c r="J109" s="196">
        <v>0</v>
      </c>
      <c r="K109" s="196">
        <v>12941.37</v>
      </c>
      <c r="L109" s="196">
        <v>0</v>
      </c>
    </row>
    <row r="110" spans="1:12" x14ac:dyDescent="0.25">
      <c r="A110" s="194" t="s">
        <v>728</v>
      </c>
      <c r="B110" s="195" t="s">
        <v>729</v>
      </c>
      <c r="C110" s="196">
        <v>0</v>
      </c>
      <c r="D110" s="196">
        <v>0</v>
      </c>
      <c r="E110" s="196">
        <v>12603.63</v>
      </c>
      <c r="F110" s="196">
        <v>0</v>
      </c>
      <c r="G110" s="196">
        <v>1570.16</v>
      </c>
      <c r="H110" s="196">
        <v>0</v>
      </c>
      <c r="I110" s="196">
        <v>14302.03</v>
      </c>
      <c r="J110" s="196">
        <v>128.24</v>
      </c>
      <c r="K110" s="196">
        <v>14173.79</v>
      </c>
      <c r="L110" s="196">
        <v>0</v>
      </c>
    </row>
    <row r="111" spans="1:12" x14ac:dyDescent="0.25">
      <c r="A111" s="194" t="s">
        <v>730</v>
      </c>
      <c r="B111" s="195" t="s">
        <v>731</v>
      </c>
      <c r="C111" s="196">
        <v>0</v>
      </c>
      <c r="D111" s="196">
        <v>0</v>
      </c>
      <c r="E111" s="196">
        <v>4704.9399999999996</v>
      </c>
      <c r="F111" s="196">
        <v>0</v>
      </c>
      <c r="G111" s="196">
        <v>377.24</v>
      </c>
      <c r="H111" s="196">
        <v>0</v>
      </c>
      <c r="I111" s="196">
        <v>5082.18</v>
      </c>
      <c r="J111" s="196">
        <v>0</v>
      </c>
      <c r="K111" s="196">
        <v>5082.18</v>
      </c>
      <c r="L111" s="196">
        <v>0</v>
      </c>
    </row>
    <row r="112" spans="1:12" x14ac:dyDescent="0.25">
      <c r="A112" s="194" t="s">
        <v>732</v>
      </c>
      <c r="B112" s="195" t="s">
        <v>733</v>
      </c>
      <c r="C112" s="196">
        <v>0</v>
      </c>
      <c r="D112" s="196">
        <v>0</v>
      </c>
      <c r="E112" s="196">
        <v>1264.06</v>
      </c>
      <c r="F112" s="196">
        <v>0</v>
      </c>
      <c r="G112" s="196">
        <v>985.53</v>
      </c>
      <c r="H112" s="196">
        <v>0</v>
      </c>
      <c r="I112" s="196">
        <v>2249.59</v>
      </c>
      <c r="J112" s="196">
        <v>0</v>
      </c>
      <c r="K112" s="196">
        <v>2249.59</v>
      </c>
      <c r="L112" s="196">
        <v>0</v>
      </c>
    </row>
    <row r="113" spans="1:12" x14ac:dyDescent="0.25">
      <c r="A113" s="194" t="s">
        <v>734</v>
      </c>
      <c r="B113" s="195" t="s">
        <v>735</v>
      </c>
      <c r="C113" s="196">
        <v>0</v>
      </c>
      <c r="D113" s="196">
        <v>0</v>
      </c>
      <c r="E113" s="196">
        <v>22877.26</v>
      </c>
      <c r="F113" s="196">
        <v>0</v>
      </c>
      <c r="G113" s="196">
        <v>11268.35</v>
      </c>
      <c r="H113" s="196">
        <v>0</v>
      </c>
      <c r="I113" s="196">
        <v>34245.19</v>
      </c>
      <c r="J113" s="196">
        <v>99.58</v>
      </c>
      <c r="K113" s="196">
        <v>34145.61</v>
      </c>
      <c r="L113" s="196">
        <v>0</v>
      </c>
    </row>
    <row r="114" spans="1:12" x14ac:dyDescent="0.25">
      <c r="A114" s="194" t="s">
        <v>736</v>
      </c>
      <c r="B114" s="195" t="s">
        <v>737</v>
      </c>
      <c r="C114" s="196">
        <v>0</v>
      </c>
      <c r="D114" s="196">
        <v>0</v>
      </c>
      <c r="E114" s="196">
        <v>13114.55</v>
      </c>
      <c r="F114" s="196">
        <v>0</v>
      </c>
      <c r="G114" s="196">
        <v>1833.13</v>
      </c>
      <c r="H114" s="196">
        <v>0</v>
      </c>
      <c r="I114" s="196">
        <v>14947.68</v>
      </c>
      <c r="J114" s="196">
        <v>0</v>
      </c>
      <c r="K114" s="196">
        <v>14947.68</v>
      </c>
      <c r="L114" s="196">
        <v>0</v>
      </c>
    </row>
    <row r="115" spans="1:12" x14ac:dyDescent="0.25">
      <c r="A115" s="194" t="s">
        <v>738</v>
      </c>
      <c r="B115" s="195" t="s">
        <v>739</v>
      </c>
      <c r="C115" s="196">
        <v>0</v>
      </c>
      <c r="D115" s="196">
        <v>0</v>
      </c>
      <c r="E115" s="196">
        <v>300</v>
      </c>
      <c r="F115" s="196">
        <v>0</v>
      </c>
      <c r="G115" s="196">
        <v>120</v>
      </c>
      <c r="H115" s="196">
        <v>0</v>
      </c>
      <c r="I115" s="196">
        <v>420</v>
      </c>
      <c r="J115" s="196">
        <v>0</v>
      </c>
      <c r="K115" s="196">
        <v>420</v>
      </c>
      <c r="L115" s="196">
        <v>0</v>
      </c>
    </row>
    <row r="116" spans="1:12" x14ac:dyDescent="0.25">
      <c r="A116" s="194" t="s">
        <v>740</v>
      </c>
      <c r="B116" s="195" t="s">
        <v>741</v>
      </c>
      <c r="C116" s="196">
        <v>0</v>
      </c>
      <c r="D116" s="196">
        <v>0</v>
      </c>
      <c r="E116" s="196">
        <v>2462.89</v>
      </c>
      <c r="F116" s="196">
        <v>0</v>
      </c>
      <c r="G116" s="196">
        <v>368.75</v>
      </c>
      <c r="H116" s="196">
        <v>0</v>
      </c>
      <c r="I116" s="196">
        <v>2831.64</v>
      </c>
      <c r="J116" s="196">
        <v>0</v>
      </c>
      <c r="K116" s="196">
        <v>2831.64</v>
      </c>
      <c r="L116" s="196">
        <v>0</v>
      </c>
    </row>
    <row r="117" spans="1:12" x14ac:dyDescent="0.25">
      <c r="A117" s="194" t="s">
        <v>742</v>
      </c>
      <c r="B117" s="195" t="s">
        <v>743</v>
      </c>
      <c r="C117" s="196">
        <v>0</v>
      </c>
      <c r="D117" s="196">
        <v>0</v>
      </c>
      <c r="E117" s="196">
        <v>34090.43</v>
      </c>
      <c r="F117" s="196">
        <v>0</v>
      </c>
      <c r="G117" s="196">
        <v>5433.55</v>
      </c>
      <c r="H117" s="196">
        <v>0</v>
      </c>
      <c r="I117" s="196">
        <v>39523.980000000003</v>
      </c>
      <c r="J117" s="196">
        <v>0</v>
      </c>
      <c r="K117" s="196">
        <v>39523.980000000003</v>
      </c>
      <c r="L117" s="196">
        <v>0</v>
      </c>
    </row>
    <row r="118" spans="1:12" x14ac:dyDescent="0.25">
      <c r="A118" s="194" t="s">
        <v>744</v>
      </c>
      <c r="B118" s="195" t="s">
        <v>745</v>
      </c>
      <c r="C118" s="196">
        <v>0</v>
      </c>
      <c r="D118" s="196">
        <v>0</v>
      </c>
      <c r="E118" s="196">
        <v>2110.35</v>
      </c>
      <c r="F118" s="196">
        <v>0</v>
      </c>
      <c r="G118" s="196">
        <v>175.6</v>
      </c>
      <c r="H118" s="196">
        <v>0</v>
      </c>
      <c r="I118" s="196">
        <v>2285.9499999999998</v>
      </c>
      <c r="J118" s="196">
        <v>0</v>
      </c>
      <c r="K118" s="196">
        <v>2285.9499999999998</v>
      </c>
      <c r="L118" s="196">
        <v>0</v>
      </c>
    </row>
    <row r="119" spans="1:12" x14ac:dyDescent="0.25">
      <c r="A119" s="194" t="s">
        <v>746</v>
      </c>
      <c r="B119" s="195" t="s">
        <v>747</v>
      </c>
      <c r="C119" s="196">
        <v>0</v>
      </c>
      <c r="D119" s="196">
        <v>0</v>
      </c>
      <c r="E119" s="196">
        <v>36083.56</v>
      </c>
      <c r="F119" s="196">
        <v>0</v>
      </c>
      <c r="G119" s="196">
        <v>5057.3100000000004</v>
      </c>
      <c r="H119" s="196">
        <v>0</v>
      </c>
      <c r="I119" s="196">
        <v>41140.870000000003</v>
      </c>
      <c r="J119" s="196">
        <v>0</v>
      </c>
      <c r="K119" s="196">
        <v>41140.870000000003</v>
      </c>
      <c r="L119" s="196">
        <v>0</v>
      </c>
    </row>
    <row r="120" spans="1:12" x14ac:dyDescent="0.25">
      <c r="A120" s="194" t="s">
        <v>1459</v>
      </c>
      <c r="B120" s="195" t="s">
        <v>1460</v>
      </c>
      <c r="C120" s="196">
        <v>0</v>
      </c>
      <c r="D120" s="196">
        <v>0</v>
      </c>
      <c r="E120" s="196">
        <v>66.42</v>
      </c>
      <c r="F120" s="196">
        <v>0</v>
      </c>
      <c r="G120" s="196">
        <v>66.39</v>
      </c>
      <c r="H120" s="196">
        <v>0</v>
      </c>
      <c r="I120" s="196">
        <v>132.81</v>
      </c>
      <c r="J120" s="196">
        <v>0</v>
      </c>
      <c r="K120" s="196">
        <v>132.81</v>
      </c>
      <c r="L120" s="196">
        <v>0</v>
      </c>
    </row>
    <row r="121" spans="1:12" x14ac:dyDescent="0.25">
      <c r="A121" s="194" t="s">
        <v>748</v>
      </c>
      <c r="B121" s="195" t="s">
        <v>749</v>
      </c>
      <c r="C121" s="196">
        <v>0</v>
      </c>
      <c r="D121" s="196">
        <v>0</v>
      </c>
      <c r="E121" s="196">
        <v>4455.8</v>
      </c>
      <c r="F121" s="196">
        <v>0</v>
      </c>
      <c r="G121" s="196">
        <v>737.18</v>
      </c>
      <c r="H121" s="196">
        <v>0</v>
      </c>
      <c r="I121" s="196">
        <v>5192.9799999999996</v>
      </c>
      <c r="J121" s="196">
        <v>0</v>
      </c>
      <c r="K121" s="196">
        <v>5192.9799999999996</v>
      </c>
      <c r="L121" s="196">
        <v>0</v>
      </c>
    </row>
    <row r="122" spans="1:12" x14ac:dyDescent="0.25">
      <c r="A122" s="194" t="s">
        <v>750</v>
      </c>
      <c r="B122" s="195" t="s">
        <v>751</v>
      </c>
      <c r="C122" s="196">
        <v>0</v>
      </c>
      <c r="D122" s="196">
        <v>0</v>
      </c>
      <c r="E122" s="196">
        <v>411.91</v>
      </c>
      <c r="F122" s="196">
        <v>0</v>
      </c>
      <c r="G122" s="196">
        <v>144.83000000000001</v>
      </c>
      <c r="H122" s="196">
        <v>0</v>
      </c>
      <c r="I122" s="196">
        <v>556.74</v>
      </c>
      <c r="J122" s="196">
        <v>0</v>
      </c>
      <c r="K122" s="196">
        <v>556.74</v>
      </c>
      <c r="L122" s="196">
        <v>0</v>
      </c>
    </row>
    <row r="123" spans="1:12" x14ac:dyDescent="0.25">
      <c r="A123" s="194" t="s">
        <v>752</v>
      </c>
      <c r="B123" s="195" t="s">
        <v>753</v>
      </c>
      <c r="C123" s="196">
        <v>0</v>
      </c>
      <c r="D123" s="196">
        <v>0</v>
      </c>
      <c r="E123" s="196">
        <v>5974.13</v>
      </c>
      <c r="F123" s="196">
        <v>0</v>
      </c>
      <c r="G123" s="196">
        <v>561.94000000000005</v>
      </c>
      <c r="H123" s="196">
        <v>0</v>
      </c>
      <c r="I123" s="196">
        <v>6536.07</v>
      </c>
      <c r="J123" s="196">
        <v>0</v>
      </c>
      <c r="K123" s="196">
        <v>6536.07</v>
      </c>
      <c r="L123" s="196">
        <v>0</v>
      </c>
    </row>
    <row r="124" spans="1:12" x14ac:dyDescent="0.25">
      <c r="A124" s="194" t="s">
        <v>754</v>
      </c>
      <c r="B124" s="195" t="s">
        <v>755</v>
      </c>
      <c r="C124" s="196">
        <v>0</v>
      </c>
      <c r="D124" s="196">
        <v>0</v>
      </c>
      <c r="E124" s="196">
        <v>14043.54</v>
      </c>
      <c r="F124" s="196">
        <v>0</v>
      </c>
      <c r="G124" s="196">
        <v>825.61</v>
      </c>
      <c r="H124" s="196">
        <v>0</v>
      </c>
      <c r="I124" s="196">
        <v>14869.15</v>
      </c>
      <c r="J124" s="196">
        <v>0</v>
      </c>
      <c r="K124" s="196">
        <v>14869.15</v>
      </c>
      <c r="L124" s="196">
        <v>0</v>
      </c>
    </row>
    <row r="125" spans="1:12" x14ac:dyDescent="0.25">
      <c r="A125" s="194" t="s">
        <v>756</v>
      </c>
      <c r="B125" s="195" t="s">
        <v>757</v>
      </c>
      <c r="C125" s="196">
        <v>0</v>
      </c>
      <c r="D125" s="196">
        <v>0</v>
      </c>
      <c r="E125" s="196">
        <v>573.04</v>
      </c>
      <c r="F125" s="196">
        <v>0</v>
      </c>
      <c r="G125" s="196">
        <v>5.59</v>
      </c>
      <c r="H125" s="196">
        <v>0</v>
      </c>
      <c r="I125" s="196">
        <v>578.63</v>
      </c>
      <c r="J125" s="196">
        <v>0</v>
      </c>
      <c r="K125" s="196">
        <v>578.63</v>
      </c>
      <c r="L125" s="196">
        <v>0</v>
      </c>
    </row>
    <row r="126" spans="1:12" x14ac:dyDescent="0.25">
      <c r="A126" s="194" t="s">
        <v>758</v>
      </c>
      <c r="B126" s="195" t="s">
        <v>759</v>
      </c>
      <c r="C126" s="196">
        <v>0</v>
      </c>
      <c r="D126" s="196">
        <v>0</v>
      </c>
      <c r="E126" s="196">
        <v>50.19</v>
      </c>
      <c r="F126" s="196">
        <v>0</v>
      </c>
      <c r="G126" s="196">
        <v>0</v>
      </c>
      <c r="H126" s="196">
        <v>0</v>
      </c>
      <c r="I126" s="196">
        <v>50.19</v>
      </c>
      <c r="J126" s="196">
        <v>0</v>
      </c>
      <c r="K126" s="196">
        <v>50.19</v>
      </c>
      <c r="L126" s="196">
        <v>0</v>
      </c>
    </row>
    <row r="127" spans="1:12" x14ac:dyDescent="0.25">
      <c r="A127" s="194" t="s">
        <v>760</v>
      </c>
      <c r="B127" s="195" t="s">
        <v>761</v>
      </c>
      <c r="C127" s="196">
        <v>0</v>
      </c>
      <c r="D127" s="196">
        <v>0</v>
      </c>
      <c r="E127" s="196">
        <v>37160</v>
      </c>
      <c r="F127" s="196">
        <v>0</v>
      </c>
      <c r="G127" s="196">
        <v>1728.24</v>
      </c>
      <c r="H127" s="196">
        <v>0</v>
      </c>
      <c r="I127" s="196">
        <v>38888.239999999998</v>
      </c>
      <c r="J127" s="196">
        <v>0</v>
      </c>
      <c r="K127" s="196">
        <v>38888.239999999998</v>
      </c>
      <c r="L127" s="196">
        <v>0</v>
      </c>
    </row>
    <row r="128" spans="1:12" x14ac:dyDescent="0.25">
      <c r="A128" s="194" t="s">
        <v>762</v>
      </c>
      <c r="B128" s="195" t="s">
        <v>763</v>
      </c>
      <c r="C128" s="196">
        <v>0</v>
      </c>
      <c r="D128" s="196">
        <v>0</v>
      </c>
      <c r="E128" s="196">
        <v>9474.27</v>
      </c>
      <c r="F128" s="196">
        <v>0</v>
      </c>
      <c r="G128" s="196">
        <v>458.34</v>
      </c>
      <c r="H128" s="196">
        <v>0</v>
      </c>
      <c r="I128" s="196">
        <v>9932.61</v>
      </c>
      <c r="J128" s="196">
        <v>0</v>
      </c>
      <c r="K128" s="196">
        <v>9932.61</v>
      </c>
      <c r="L128" s="196">
        <v>0</v>
      </c>
    </row>
    <row r="129" spans="1:12" x14ac:dyDescent="0.25">
      <c r="A129" s="194" t="s">
        <v>764</v>
      </c>
      <c r="B129" s="195" t="s">
        <v>765</v>
      </c>
      <c r="C129" s="196">
        <v>0</v>
      </c>
      <c r="D129" s="196">
        <v>0</v>
      </c>
      <c r="E129" s="196">
        <v>70649.59</v>
      </c>
      <c r="F129" s="196">
        <v>0</v>
      </c>
      <c r="G129" s="196">
        <v>2004.49</v>
      </c>
      <c r="H129" s="196">
        <v>0</v>
      </c>
      <c r="I129" s="196">
        <v>72654.080000000002</v>
      </c>
      <c r="J129" s="196">
        <v>0</v>
      </c>
      <c r="K129" s="196">
        <v>72654.080000000002</v>
      </c>
      <c r="L129" s="196">
        <v>0</v>
      </c>
    </row>
    <row r="130" spans="1:12" x14ac:dyDescent="0.25">
      <c r="A130" s="194" t="s">
        <v>1461</v>
      </c>
      <c r="B130" s="195" t="s">
        <v>1462</v>
      </c>
      <c r="C130" s="196">
        <v>0</v>
      </c>
      <c r="D130" s="196">
        <v>0</v>
      </c>
      <c r="E130" s="196">
        <v>59.98</v>
      </c>
      <c r="F130" s="196">
        <v>0</v>
      </c>
      <c r="G130" s="196">
        <v>0</v>
      </c>
      <c r="H130" s="196">
        <v>0</v>
      </c>
      <c r="I130" s="196">
        <v>59.98</v>
      </c>
      <c r="J130" s="196">
        <v>0</v>
      </c>
      <c r="K130" s="196">
        <v>59.98</v>
      </c>
      <c r="L130" s="196">
        <v>0</v>
      </c>
    </row>
    <row r="131" spans="1:12" x14ac:dyDescent="0.25">
      <c r="A131" s="194" t="s">
        <v>766</v>
      </c>
      <c r="B131" s="195" t="s">
        <v>767</v>
      </c>
      <c r="C131" s="196">
        <v>0</v>
      </c>
      <c r="D131" s="196">
        <v>0</v>
      </c>
      <c r="E131" s="196">
        <v>339549.11</v>
      </c>
      <c r="F131" s="196">
        <v>0</v>
      </c>
      <c r="G131" s="196">
        <v>46811.23</v>
      </c>
      <c r="H131" s="196">
        <v>0</v>
      </c>
      <c r="I131" s="196">
        <v>401038.37</v>
      </c>
      <c r="J131" s="196">
        <v>14678.03</v>
      </c>
      <c r="K131" s="196">
        <v>386360.34</v>
      </c>
      <c r="L131" s="196">
        <v>0</v>
      </c>
    </row>
    <row r="132" spans="1:12" x14ac:dyDescent="0.25">
      <c r="A132" s="194" t="s">
        <v>768</v>
      </c>
      <c r="B132" s="195" t="s">
        <v>769</v>
      </c>
      <c r="C132" s="196">
        <v>0</v>
      </c>
      <c r="D132" s="196">
        <v>0</v>
      </c>
      <c r="E132" s="196">
        <v>12935.96</v>
      </c>
      <c r="F132" s="196">
        <v>0</v>
      </c>
      <c r="G132" s="196">
        <v>661.25</v>
      </c>
      <c r="H132" s="196">
        <v>0</v>
      </c>
      <c r="I132" s="196">
        <v>13597.21</v>
      </c>
      <c r="J132" s="196">
        <v>0</v>
      </c>
      <c r="K132" s="196">
        <v>13597.21</v>
      </c>
      <c r="L132" s="196">
        <v>0</v>
      </c>
    </row>
    <row r="133" spans="1:12" x14ac:dyDescent="0.25">
      <c r="A133" s="194" t="s">
        <v>770</v>
      </c>
      <c r="B133" s="195" t="s">
        <v>628</v>
      </c>
      <c r="C133" s="196">
        <v>0</v>
      </c>
      <c r="D133" s="196">
        <v>0</v>
      </c>
      <c r="E133" s="196">
        <v>28691.3</v>
      </c>
      <c r="F133" s="196">
        <v>0</v>
      </c>
      <c r="G133" s="196">
        <v>9211.5499999999993</v>
      </c>
      <c r="H133" s="196">
        <v>0</v>
      </c>
      <c r="I133" s="196">
        <v>43055.68</v>
      </c>
      <c r="J133" s="196">
        <v>5152.83</v>
      </c>
      <c r="K133" s="196">
        <v>37902.85</v>
      </c>
      <c r="L133" s="196">
        <v>0</v>
      </c>
    </row>
    <row r="134" spans="1:12" x14ac:dyDescent="0.25">
      <c r="A134" s="194" t="s">
        <v>771</v>
      </c>
      <c r="B134" s="195" t="s">
        <v>772</v>
      </c>
      <c r="C134" s="196">
        <v>0</v>
      </c>
      <c r="D134" s="196">
        <v>0</v>
      </c>
      <c r="E134" s="196">
        <v>3577.23</v>
      </c>
      <c r="F134" s="196">
        <v>0</v>
      </c>
      <c r="G134" s="196">
        <v>264.89</v>
      </c>
      <c r="H134" s="196">
        <v>0</v>
      </c>
      <c r="I134" s="196">
        <v>3842.12</v>
      </c>
      <c r="J134" s="196">
        <v>0</v>
      </c>
      <c r="K134" s="196">
        <v>3842.12</v>
      </c>
      <c r="L134" s="196">
        <v>0</v>
      </c>
    </row>
    <row r="135" spans="1:12" x14ac:dyDescent="0.25">
      <c r="A135" s="194" t="s">
        <v>773</v>
      </c>
      <c r="B135" s="195" t="s">
        <v>140</v>
      </c>
      <c r="C135" s="196">
        <v>0</v>
      </c>
      <c r="D135" s="196">
        <v>0</v>
      </c>
      <c r="E135" s="196">
        <v>86340.46</v>
      </c>
      <c r="F135" s="196">
        <v>0</v>
      </c>
      <c r="G135" s="196">
        <v>6408.41</v>
      </c>
      <c r="H135" s="196">
        <v>0</v>
      </c>
      <c r="I135" s="196">
        <v>92748.87</v>
      </c>
      <c r="J135" s="196">
        <v>0</v>
      </c>
      <c r="K135" s="196">
        <v>92748.87</v>
      </c>
      <c r="L135" s="196">
        <v>0</v>
      </c>
    </row>
    <row r="136" spans="1:12" x14ac:dyDescent="0.25">
      <c r="A136" s="194" t="s">
        <v>774</v>
      </c>
      <c r="B136" s="195" t="s">
        <v>775</v>
      </c>
      <c r="C136" s="196">
        <v>0</v>
      </c>
      <c r="D136" s="196">
        <v>0</v>
      </c>
      <c r="E136" s="196">
        <v>389.09</v>
      </c>
      <c r="F136" s="196">
        <v>0</v>
      </c>
      <c r="G136" s="196">
        <v>-122.97</v>
      </c>
      <c r="H136" s="196">
        <v>0</v>
      </c>
      <c r="I136" s="196">
        <v>266.12</v>
      </c>
      <c r="J136" s="196">
        <v>0</v>
      </c>
      <c r="K136" s="196">
        <v>266.12</v>
      </c>
      <c r="L136" s="196">
        <v>0</v>
      </c>
    </row>
    <row r="137" spans="1:12" x14ac:dyDescent="0.25">
      <c r="A137" s="194" t="s">
        <v>776</v>
      </c>
      <c r="B137" s="195" t="s">
        <v>777</v>
      </c>
      <c r="C137" s="196">
        <v>0</v>
      </c>
      <c r="D137" s="196">
        <v>0</v>
      </c>
      <c r="E137" s="196">
        <v>3683.81</v>
      </c>
      <c r="F137" s="196">
        <v>0</v>
      </c>
      <c r="G137" s="196">
        <v>280.83</v>
      </c>
      <c r="H137" s="196">
        <v>-198.11</v>
      </c>
      <c r="I137" s="196">
        <v>4162.75</v>
      </c>
      <c r="J137" s="196">
        <v>0</v>
      </c>
      <c r="K137" s="196">
        <v>4162.75</v>
      </c>
      <c r="L137" s="196">
        <v>0</v>
      </c>
    </row>
    <row r="138" spans="1:12" x14ac:dyDescent="0.25">
      <c r="A138" s="194" t="s">
        <v>778</v>
      </c>
      <c r="B138" s="195" t="s">
        <v>779</v>
      </c>
      <c r="C138" s="196">
        <v>0</v>
      </c>
      <c r="D138" s="196">
        <v>0</v>
      </c>
      <c r="E138" s="196">
        <v>1922.28</v>
      </c>
      <c r="F138" s="196">
        <v>0</v>
      </c>
      <c r="G138" s="196">
        <v>157.07</v>
      </c>
      <c r="H138" s="196">
        <v>0</v>
      </c>
      <c r="I138" s="196">
        <v>2079.35</v>
      </c>
      <c r="J138" s="196">
        <v>0</v>
      </c>
      <c r="K138" s="196">
        <v>2079.35</v>
      </c>
      <c r="L138" s="196">
        <v>0</v>
      </c>
    </row>
    <row r="139" spans="1:12" x14ac:dyDescent="0.25">
      <c r="A139" s="194" t="s">
        <v>780</v>
      </c>
      <c r="B139" s="195" t="s">
        <v>781</v>
      </c>
      <c r="C139" s="196">
        <v>0</v>
      </c>
      <c r="D139" s="196">
        <v>0</v>
      </c>
      <c r="E139" s="196">
        <v>10157.17</v>
      </c>
      <c r="F139" s="196">
        <v>0</v>
      </c>
      <c r="G139" s="196">
        <v>599.61</v>
      </c>
      <c r="H139" s="196">
        <v>0</v>
      </c>
      <c r="I139" s="196">
        <v>10756.78</v>
      </c>
      <c r="J139" s="196">
        <v>0</v>
      </c>
      <c r="K139" s="196">
        <v>10756.78</v>
      </c>
      <c r="L139" s="196">
        <v>0</v>
      </c>
    </row>
    <row r="140" spans="1:12" x14ac:dyDescent="0.25">
      <c r="A140" s="194" t="s">
        <v>782</v>
      </c>
      <c r="B140" s="195" t="s">
        <v>783</v>
      </c>
      <c r="C140" s="196">
        <v>0</v>
      </c>
      <c r="D140" s="196">
        <v>0</v>
      </c>
      <c r="E140" s="196">
        <v>325.39999999999998</v>
      </c>
      <c r="F140" s="196">
        <v>0</v>
      </c>
      <c r="G140" s="196">
        <v>33.200000000000003</v>
      </c>
      <c r="H140" s="196">
        <v>0</v>
      </c>
      <c r="I140" s="196">
        <v>358.6</v>
      </c>
      <c r="J140" s="196">
        <v>0</v>
      </c>
      <c r="K140" s="196">
        <v>358.6</v>
      </c>
      <c r="L140" s="196">
        <v>0</v>
      </c>
    </row>
    <row r="141" spans="1:12" x14ac:dyDescent="0.25">
      <c r="A141" s="194" t="s">
        <v>784</v>
      </c>
      <c r="B141" s="195" t="s">
        <v>785</v>
      </c>
      <c r="C141" s="196">
        <v>0</v>
      </c>
      <c r="D141" s="196">
        <v>0</v>
      </c>
      <c r="E141" s="196">
        <v>185.42</v>
      </c>
      <c r="F141" s="196">
        <v>0</v>
      </c>
      <c r="G141" s="196">
        <v>0</v>
      </c>
      <c r="H141" s="196">
        <v>0</v>
      </c>
      <c r="I141" s="196">
        <v>185.42</v>
      </c>
      <c r="J141" s="196">
        <v>0</v>
      </c>
      <c r="K141" s="196">
        <v>185.42</v>
      </c>
      <c r="L141" s="196">
        <v>0</v>
      </c>
    </row>
    <row r="142" spans="1:12" x14ac:dyDescent="0.25">
      <c r="A142" s="194" t="s">
        <v>786</v>
      </c>
      <c r="B142" s="195" t="s">
        <v>787</v>
      </c>
      <c r="C142" s="196">
        <v>0</v>
      </c>
      <c r="D142" s="196">
        <v>0</v>
      </c>
      <c r="E142" s="196">
        <v>1608</v>
      </c>
      <c r="F142" s="196">
        <v>0</v>
      </c>
      <c r="G142" s="196">
        <v>30</v>
      </c>
      <c r="H142" s="196">
        <v>0</v>
      </c>
      <c r="I142" s="196">
        <v>1638</v>
      </c>
      <c r="J142" s="196">
        <v>0</v>
      </c>
      <c r="K142" s="196">
        <v>1638</v>
      </c>
      <c r="L142" s="196">
        <v>0</v>
      </c>
    </row>
    <row r="143" spans="1:12" x14ac:dyDescent="0.25">
      <c r="A143" s="194" t="s">
        <v>788</v>
      </c>
      <c r="B143" s="195" t="s">
        <v>655</v>
      </c>
      <c r="C143" s="196">
        <v>0</v>
      </c>
      <c r="D143" s="196">
        <v>0</v>
      </c>
      <c r="E143" s="196">
        <v>0</v>
      </c>
      <c r="F143" s="196">
        <v>0</v>
      </c>
      <c r="G143" s="196">
        <v>8220.7199999999993</v>
      </c>
      <c r="H143" s="196">
        <v>0</v>
      </c>
      <c r="I143" s="196">
        <v>8220.7199999999993</v>
      </c>
      <c r="J143" s="196">
        <v>0</v>
      </c>
      <c r="K143" s="196">
        <v>8220.7199999999993</v>
      </c>
      <c r="L143" s="196">
        <v>0</v>
      </c>
    </row>
    <row r="144" spans="1:12" x14ac:dyDescent="0.25">
      <c r="A144" s="194" t="s">
        <v>789</v>
      </c>
      <c r="B144" s="195" t="s">
        <v>657</v>
      </c>
      <c r="C144" s="196">
        <v>0</v>
      </c>
      <c r="D144" s="196">
        <v>0</v>
      </c>
      <c r="E144" s="196">
        <v>9948.15</v>
      </c>
      <c r="F144" s="196">
        <v>0</v>
      </c>
      <c r="G144" s="196">
        <v>0</v>
      </c>
      <c r="H144" s="196">
        <v>0</v>
      </c>
      <c r="I144" s="196">
        <v>9948.15</v>
      </c>
      <c r="J144" s="196">
        <v>0</v>
      </c>
      <c r="K144" s="196">
        <v>9948.15</v>
      </c>
      <c r="L144" s="196">
        <v>0</v>
      </c>
    </row>
    <row r="145" spans="1:12" x14ac:dyDescent="0.25">
      <c r="A145" s="194" t="s">
        <v>790</v>
      </c>
      <c r="B145" s="195" t="s">
        <v>791</v>
      </c>
      <c r="C145" s="196">
        <v>0</v>
      </c>
      <c r="D145" s="196">
        <v>0</v>
      </c>
      <c r="E145" s="196">
        <v>747.6</v>
      </c>
      <c r="F145" s="196">
        <v>0</v>
      </c>
      <c r="G145" s="196">
        <v>0</v>
      </c>
      <c r="H145" s="196">
        <v>0</v>
      </c>
      <c r="I145" s="196">
        <v>773.6</v>
      </c>
      <c r="J145" s="196">
        <v>26</v>
      </c>
      <c r="K145" s="196">
        <v>747.6</v>
      </c>
      <c r="L145" s="196">
        <v>0</v>
      </c>
    </row>
    <row r="146" spans="1:12" x14ac:dyDescent="0.25">
      <c r="A146" s="194" t="s">
        <v>792</v>
      </c>
      <c r="B146" s="195" t="s">
        <v>659</v>
      </c>
      <c r="C146" s="196">
        <v>0</v>
      </c>
      <c r="D146" s="196">
        <v>0</v>
      </c>
      <c r="E146" s="196">
        <v>139.15</v>
      </c>
      <c r="F146" s="196">
        <v>0</v>
      </c>
      <c r="G146" s="196">
        <v>0</v>
      </c>
      <c r="H146" s="196">
        <v>0</v>
      </c>
      <c r="I146" s="196">
        <v>139.15</v>
      </c>
      <c r="J146" s="196">
        <v>0</v>
      </c>
      <c r="K146" s="196">
        <v>139.15</v>
      </c>
      <c r="L146" s="196">
        <v>0</v>
      </c>
    </row>
    <row r="147" spans="1:12" x14ac:dyDescent="0.25">
      <c r="A147" s="194" t="s">
        <v>793</v>
      </c>
      <c r="B147" s="195" t="s">
        <v>661</v>
      </c>
      <c r="C147" s="196">
        <v>0</v>
      </c>
      <c r="D147" s="196">
        <v>0</v>
      </c>
      <c r="E147" s="196">
        <v>18</v>
      </c>
      <c r="F147" s="196">
        <v>0</v>
      </c>
      <c r="G147" s="196">
        <v>0</v>
      </c>
      <c r="H147" s="196">
        <v>0</v>
      </c>
      <c r="I147" s="196">
        <v>18</v>
      </c>
      <c r="J147" s="196">
        <v>0</v>
      </c>
      <c r="K147" s="196">
        <v>18</v>
      </c>
      <c r="L147" s="196">
        <v>0</v>
      </c>
    </row>
    <row r="148" spans="1:12" x14ac:dyDescent="0.25">
      <c r="A148" s="194" t="s">
        <v>794</v>
      </c>
      <c r="B148" s="195" t="s">
        <v>795</v>
      </c>
      <c r="C148" s="196">
        <v>0</v>
      </c>
      <c r="D148" s="196">
        <v>0</v>
      </c>
      <c r="E148" s="196">
        <v>222.96</v>
      </c>
      <c r="F148" s="196">
        <v>0</v>
      </c>
      <c r="G148" s="196">
        <v>0</v>
      </c>
      <c r="H148" s="196">
        <v>0</v>
      </c>
      <c r="I148" s="196">
        <v>222.96</v>
      </c>
      <c r="J148" s="196">
        <v>0</v>
      </c>
      <c r="K148" s="196">
        <v>222.96</v>
      </c>
      <c r="L148" s="196">
        <v>0</v>
      </c>
    </row>
    <row r="149" spans="1:12" x14ac:dyDescent="0.25">
      <c r="A149" s="194" t="s">
        <v>797</v>
      </c>
      <c r="B149" s="195" t="s">
        <v>798</v>
      </c>
      <c r="C149" s="196">
        <v>0</v>
      </c>
      <c r="D149" s="196">
        <v>0</v>
      </c>
      <c r="E149" s="196">
        <v>18.13</v>
      </c>
      <c r="F149" s="196">
        <v>0</v>
      </c>
      <c r="G149" s="196">
        <v>2</v>
      </c>
      <c r="H149" s="196">
        <v>0</v>
      </c>
      <c r="I149" s="196">
        <v>20.13</v>
      </c>
      <c r="J149" s="196">
        <v>0</v>
      </c>
      <c r="K149" s="196">
        <v>20.13</v>
      </c>
      <c r="L149" s="196">
        <v>0</v>
      </c>
    </row>
    <row r="150" spans="1:12" x14ac:dyDescent="0.25">
      <c r="A150" s="194" t="s">
        <v>799</v>
      </c>
      <c r="B150" s="195" t="s">
        <v>800</v>
      </c>
      <c r="C150" s="196">
        <v>0</v>
      </c>
      <c r="D150" s="196">
        <v>0</v>
      </c>
      <c r="E150" s="196">
        <v>2</v>
      </c>
      <c r="F150" s="196">
        <v>0</v>
      </c>
      <c r="G150" s="196">
        <v>-2</v>
      </c>
      <c r="H150" s="196">
        <v>0</v>
      </c>
      <c r="I150" s="196">
        <v>0</v>
      </c>
      <c r="J150" s="196">
        <v>0</v>
      </c>
      <c r="K150" s="196">
        <v>0</v>
      </c>
      <c r="L150" s="196">
        <v>0</v>
      </c>
    </row>
    <row r="151" spans="1:12" x14ac:dyDescent="0.25">
      <c r="A151" s="194" t="s">
        <v>1463</v>
      </c>
      <c r="B151" s="195" t="s">
        <v>1464</v>
      </c>
      <c r="C151" s="196">
        <v>0</v>
      </c>
      <c r="D151" s="196">
        <v>0</v>
      </c>
      <c r="E151" s="196">
        <v>5502.71</v>
      </c>
      <c r="F151" s="196">
        <v>0</v>
      </c>
      <c r="G151" s="196">
        <v>0</v>
      </c>
      <c r="H151" s="196">
        <v>0</v>
      </c>
      <c r="I151" s="196">
        <v>6329.7</v>
      </c>
      <c r="J151" s="196">
        <v>826.99</v>
      </c>
      <c r="K151" s="196">
        <v>5502.71</v>
      </c>
      <c r="L151" s="196">
        <v>0</v>
      </c>
    </row>
    <row r="152" spans="1:12" x14ac:dyDescent="0.25">
      <c r="A152" s="194" t="s">
        <v>807</v>
      </c>
      <c r="B152" s="195" t="s">
        <v>808</v>
      </c>
      <c r="C152" s="196">
        <v>0</v>
      </c>
      <c r="D152" s="196">
        <v>0</v>
      </c>
      <c r="E152" s="196">
        <v>1946.68</v>
      </c>
      <c r="F152" s="196">
        <v>0</v>
      </c>
      <c r="G152" s="196">
        <v>71.45</v>
      </c>
      <c r="H152" s="196">
        <v>0</v>
      </c>
      <c r="I152" s="196">
        <v>2018.13</v>
      </c>
      <c r="J152" s="196">
        <v>0</v>
      </c>
      <c r="K152" s="196">
        <v>2018.13</v>
      </c>
      <c r="L152" s="196">
        <v>0</v>
      </c>
    </row>
    <row r="153" spans="1:12" x14ac:dyDescent="0.25">
      <c r="A153" s="194" t="s">
        <v>809</v>
      </c>
      <c r="B153" s="195" t="s">
        <v>810</v>
      </c>
      <c r="C153" s="196">
        <v>0</v>
      </c>
      <c r="D153" s="196">
        <v>0</v>
      </c>
      <c r="E153" s="196">
        <v>0</v>
      </c>
      <c r="F153" s="196">
        <v>0</v>
      </c>
      <c r="G153" s="196">
        <v>7.0000000000000007E-2</v>
      </c>
      <c r="H153" s="196">
        <v>0.02</v>
      </c>
      <c r="I153" s="196">
        <v>4.58</v>
      </c>
      <c r="J153" s="196">
        <v>4.53</v>
      </c>
      <c r="K153" s="196">
        <v>0.05</v>
      </c>
      <c r="L153" s="196">
        <v>0</v>
      </c>
    </row>
    <row r="154" spans="1:12" x14ac:dyDescent="0.25">
      <c r="A154" s="194" t="s">
        <v>811</v>
      </c>
      <c r="B154" s="195" t="s">
        <v>812</v>
      </c>
      <c r="C154" s="196">
        <v>0</v>
      </c>
      <c r="D154" s="196">
        <v>0</v>
      </c>
      <c r="E154" s="196">
        <v>176822.1</v>
      </c>
      <c r="F154" s="196">
        <v>0</v>
      </c>
      <c r="G154" s="196">
        <v>14476.17</v>
      </c>
      <c r="H154" s="196">
        <v>0</v>
      </c>
      <c r="I154" s="196">
        <v>191298.27</v>
      </c>
      <c r="J154" s="196">
        <v>0</v>
      </c>
      <c r="K154" s="196">
        <v>191298.27</v>
      </c>
      <c r="L154" s="196">
        <v>0</v>
      </c>
    </row>
    <row r="155" spans="1:12" x14ac:dyDescent="0.25">
      <c r="A155" s="194" t="s">
        <v>1465</v>
      </c>
      <c r="B155" s="195" t="s">
        <v>1466</v>
      </c>
      <c r="C155" s="196">
        <v>0</v>
      </c>
      <c r="D155" s="196">
        <v>0</v>
      </c>
      <c r="E155" s="196">
        <v>0</v>
      </c>
      <c r="F155" s="196">
        <v>0</v>
      </c>
      <c r="G155" s="196">
        <v>9.2899999999999991</v>
      </c>
      <c r="H155" s="196">
        <v>9.2899999999999991</v>
      </c>
      <c r="I155" s="196">
        <v>9.2899999999999991</v>
      </c>
      <c r="J155" s="196">
        <v>9.2899999999999991</v>
      </c>
      <c r="K155" s="196">
        <v>0</v>
      </c>
      <c r="L155" s="196">
        <v>0</v>
      </c>
    </row>
    <row r="156" spans="1:12" x14ac:dyDescent="0.25">
      <c r="A156" s="194" t="s">
        <v>813</v>
      </c>
      <c r="B156" s="195" t="s">
        <v>814</v>
      </c>
      <c r="C156" s="196">
        <v>0</v>
      </c>
      <c r="D156" s="196">
        <v>0</v>
      </c>
      <c r="E156" s="196">
        <v>22114.09</v>
      </c>
      <c r="F156" s="196">
        <v>0</v>
      </c>
      <c r="G156" s="196">
        <v>3540.1</v>
      </c>
      <c r="H156" s="196">
        <v>0</v>
      </c>
      <c r="I156" s="196">
        <v>25654.19</v>
      </c>
      <c r="J156" s="196">
        <v>0</v>
      </c>
      <c r="K156" s="196">
        <v>25654.19</v>
      </c>
      <c r="L156" s="196">
        <v>0</v>
      </c>
    </row>
    <row r="157" spans="1:12" x14ac:dyDescent="0.25">
      <c r="A157" s="194" t="s">
        <v>815</v>
      </c>
      <c r="B157" s="195" t="s">
        <v>816</v>
      </c>
      <c r="C157" s="196">
        <v>0</v>
      </c>
      <c r="D157" s="196">
        <v>0</v>
      </c>
      <c r="E157" s="196">
        <v>19657.310000000001</v>
      </c>
      <c r="F157" s="196">
        <v>0</v>
      </c>
      <c r="G157" s="196">
        <v>1637.82</v>
      </c>
      <c r="H157" s="196">
        <v>0</v>
      </c>
      <c r="I157" s="196">
        <v>21295.13</v>
      </c>
      <c r="J157" s="196">
        <v>0</v>
      </c>
      <c r="K157" s="196">
        <v>21295.13</v>
      </c>
      <c r="L157" s="196">
        <v>0</v>
      </c>
    </row>
    <row r="158" spans="1:12" x14ac:dyDescent="0.25">
      <c r="A158" s="194" t="s">
        <v>817</v>
      </c>
      <c r="B158" s="195" t="s">
        <v>818</v>
      </c>
      <c r="C158" s="196">
        <v>0</v>
      </c>
      <c r="D158" s="196">
        <v>0</v>
      </c>
      <c r="E158" s="196">
        <v>206.05</v>
      </c>
      <c r="F158" s="196">
        <v>0</v>
      </c>
      <c r="G158" s="196">
        <v>115.99</v>
      </c>
      <c r="H158" s="196">
        <v>0</v>
      </c>
      <c r="I158" s="196">
        <v>322.04000000000002</v>
      </c>
      <c r="J158" s="196">
        <v>0</v>
      </c>
      <c r="K158" s="196">
        <v>322.04000000000002</v>
      </c>
      <c r="L158" s="196">
        <v>0</v>
      </c>
    </row>
    <row r="159" spans="1:12" x14ac:dyDescent="0.25">
      <c r="A159" s="194" t="s">
        <v>819</v>
      </c>
      <c r="B159" s="195" t="s">
        <v>820</v>
      </c>
      <c r="C159" s="196">
        <v>0</v>
      </c>
      <c r="D159" s="196">
        <v>0</v>
      </c>
      <c r="E159" s="196">
        <v>8189.3</v>
      </c>
      <c r="F159" s="196">
        <v>0</v>
      </c>
      <c r="G159" s="196">
        <v>530.64</v>
      </c>
      <c r="H159" s="196">
        <v>0</v>
      </c>
      <c r="I159" s="196">
        <v>8719.94</v>
      </c>
      <c r="J159" s="196">
        <v>0</v>
      </c>
      <c r="K159" s="196">
        <v>8719.94</v>
      </c>
      <c r="L159" s="196">
        <v>0</v>
      </c>
    </row>
    <row r="160" spans="1:12" x14ac:dyDescent="0.25">
      <c r="A160" s="194" t="s">
        <v>821</v>
      </c>
      <c r="B160" s="195" t="s">
        <v>822</v>
      </c>
      <c r="C160" s="196">
        <v>0</v>
      </c>
      <c r="D160" s="196">
        <v>0</v>
      </c>
      <c r="E160" s="196">
        <v>1470.84</v>
      </c>
      <c r="F160" s="196">
        <v>0</v>
      </c>
      <c r="G160" s="196">
        <v>46.9</v>
      </c>
      <c r="H160" s="196">
        <v>0</v>
      </c>
      <c r="I160" s="196">
        <v>1517.74</v>
      </c>
      <c r="J160" s="196">
        <v>0</v>
      </c>
      <c r="K160" s="196">
        <v>1517.74</v>
      </c>
      <c r="L160" s="196">
        <v>0</v>
      </c>
    </row>
    <row r="161" spans="1:12" x14ac:dyDescent="0.25">
      <c r="A161" s="194" t="s">
        <v>823</v>
      </c>
      <c r="B161" s="195" t="s">
        <v>824</v>
      </c>
      <c r="C161" s="196">
        <v>0</v>
      </c>
      <c r="D161" s="196">
        <v>0</v>
      </c>
      <c r="E161" s="196">
        <v>1991.15</v>
      </c>
      <c r="F161" s="196">
        <v>0</v>
      </c>
      <c r="G161" s="196">
        <v>0</v>
      </c>
      <c r="H161" s="196">
        <v>0</v>
      </c>
      <c r="I161" s="196">
        <v>1991.15</v>
      </c>
      <c r="J161" s="196">
        <v>0</v>
      </c>
      <c r="K161" s="196">
        <v>1991.15</v>
      </c>
      <c r="L161" s="196">
        <v>0</v>
      </c>
    </row>
    <row r="162" spans="1:12" x14ac:dyDescent="0.25">
      <c r="A162" s="194" t="s">
        <v>825</v>
      </c>
      <c r="B162" s="195" t="s">
        <v>826</v>
      </c>
      <c r="C162" s="196">
        <v>0</v>
      </c>
      <c r="D162" s="196">
        <v>0</v>
      </c>
      <c r="E162" s="196">
        <v>3003.6</v>
      </c>
      <c r="F162" s="196">
        <v>0</v>
      </c>
      <c r="G162" s="196">
        <v>0</v>
      </c>
      <c r="H162" s="196">
        <v>0</v>
      </c>
      <c r="I162" s="196">
        <v>3003.6</v>
      </c>
      <c r="J162" s="196">
        <v>0</v>
      </c>
      <c r="K162" s="196">
        <v>3003.6</v>
      </c>
      <c r="L162" s="196">
        <v>0</v>
      </c>
    </row>
    <row r="163" spans="1:12" x14ac:dyDescent="0.25">
      <c r="A163" s="194" t="s">
        <v>827</v>
      </c>
      <c r="B163" s="195" t="s">
        <v>828</v>
      </c>
      <c r="C163" s="196">
        <v>0</v>
      </c>
      <c r="D163" s="196">
        <v>0</v>
      </c>
      <c r="E163" s="196">
        <v>6159.64</v>
      </c>
      <c r="F163" s="196">
        <v>0</v>
      </c>
      <c r="G163" s="196">
        <v>286.08</v>
      </c>
      <c r="H163" s="196">
        <v>0</v>
      </c>
      <c r="I163" s="196">
        <v>7430.21</v>
      </c>
      <c r="J163" s="196">
        <v>984.49</v>
      </c>
      <c r="K163" s="196">
        <v>6445.72</v>
      </c>
      <c r="L163" s="196">
        <v>0</v>
      </c>
    </row>
    <row r="164" spans="1:12" x14ac:dyDescent="0.25">
      <c r="A164" s="194" t="s">
        <v>829</v>
      </c>
      <c r="B164" s="195" t="s">
        <v>830</v>
      </c>
      <c r="C164" s="196">
        <v>0</v>
      </c>
      <c r="D164" s="196">
        <v>0</v>
      </c>
      <c r="E164" s="196">
        <v>721.46</v>
      </c>
      <c r="F164" s="196">
        <v>0</v>
      </c>
      <c r="G164" s="196">
        <v>0</v>
      </c>
      <c r="H164" s="196">
        <v>0</v>
      </c>
      <c r="I164" s="196">
        <v>721.46</v>
      </c>
      <c r="J164" s="196">
        <v>0</v>
      </c>
      <c r="K164" s="196">
        <v>721.46</v>
      </c>
      <c r="L164" s="196">
        <v>0</v>
      </c>
    </row>
    <row r="165" spans="1:12" x14ac:dyDescent="0.25">
      <c r="A165" s="194" t="s">
        <v>831</v>
      </c>
      <c r="B165" s="195" t="s">
        <v>832</v>
      </c>
      <c r="C165" s="196">
        <v>0</v>
      </c>
      <c r="D165" s="196">
        <v>0</v>
      </c>
      <c r="E165" s="196">
        <v>851.32</v>
      </c>
      <c r="F165" s="196">
        <v>0</v>
      </c>
      <c r="G165" s="196">
        <v>0</v>
      </c>
      <c r="H165" s="196">
        <v>0</v>
      </c>
      <c r="I165" s="196">
        <v>851.32</v>
      </c>
      <c r="J165" s="196">
        <v>0</v>
      </c>
      <c r="K165" s="196">
        <v>851.32</v>
      </c>
      <c r="L165" s="196">
        <v>0</v>
      </c>
    </row>
    <row r="166" spans="1:12" x14ac:dyDescent="0.25">
      <c r="A166" s="194" t="s">
        <v>833</v>
      </c>
      <c r="B166" s="195" t="s">
        <v>834</v>
      </c>
      <c r="C166" s="196">
        <v>0</v>
      </c>
      <c r="D166" s="196">
        <v>0</v>
      </c>
      <c r="E166" s="196">
        <v>57.04</v>
      </c>
      <c r="F166" s="196">
        <v>0</v>
      </c>
      <c r="G166" s="196">
        <v>0</v>
      </c>
      <c r="H166" s="196">
        <v>0</v>
      </c>
      <c r="I166" s="196">
        <v>57.04</v>
      </c>
      <c r="J166" s="196">
        <v>0</v>
      </c>
      <c r="K166" s="196">
        <v>57.04</v>
      </c>
      <c r="L166" s="196">
        <v>0</v>
      </c>
    </row>
    <row r="167" spans="1:12" x14ac:dyDescent="0.25">
      <c r="A167" s="194" t="s">
        <v>835</v>
      </c>
      <c r="B167" s="195" t="s">
        <v>836</v>
      </c>
      <c r="C167" s="196">
        <v>0</v>
      </c>
      <c r="D167" s="196">
        <v>0</v>
      </c>
      <c r="E167" s="196">
        <v>2712.95</v>
      </c>
      <c r="F167" s="196">
        <v>0</v>
      </c>
      <c r="G167" s="196">
        <v>0</v>
      </c>
      <c r="H167" s="196">
        <v>0</v>
      </c>
      <c r="I167" s="196">
        <v>2712.95</v>
      </c>
      <c r="J167" s="196">
        <v>0</v>
      </c>
      <c r="K167" s="196">
        <v>2712.95</v>
      </c>
      <c r="L167" s="196">
        <v>0</v>
      </c>
    </row>
    <row r="168" spans="1:12" x14ac:dyDescent="0.25">
      <c r="A168" s="194" t="s">
        <v>837</v>
      </c>
      <c r="B168" s="195" t="s">
        <v>838</v>
      </c>
      <c r="C168" s="196">
        <v>0</v>
      </c>
      <c r="D168" s="196">
        <v>0</v>
      </c>
      <c r="E168" s="196">
        <v>0.11</v>
      </c>
      <c r="F168" s="196">
        <v>0</v>
      </c>
      <c r="G168" s="196">
        <v>13398.34</v>
      </c>
      <c r="H168" s="196">
        <v>0</v>
      </c>
      <c r="I168" s="196">
        <v>13398.45</v>
      </c>
      <c r="J168" s="196">
        <v>0</v>
      </c>
      <c r="K168" s="196">
        <v>13398.45</v>
      </c>
      <c r="L168" s="196">
        <v>0</v>
      </c>
    </row>
    <row r="169" spans="1:12" x14ac:dyDescent="0.25">
      <c r="A169" s="194" t="s">
        <v>1467</v>
      </c>
      <c r="B169" s="195" t="s">
        <v>1468</v>
      </c>
      <c r="C169" s="196">
        <v>0</v>
      </c>
      <c r="D169" s="196">
        <v>0</v>
      </c>
      <c r="E169" s="196">
        <v>0</v>
      </c>
      <c r="F169" s="196">
        <v>0</v>
      </c>
      <c r="G169" s="196">
        <v>7429.65</v>
      </c>
      <c r="H169" s="196">
        <v>0</v>
      </c>
      <c r="I169" s="196">
        <v>7429.65</v>
      </c>
      <c r="J169" s="196">
        <v>0</v>
      </c>
      <c r="K169" s="196">
        <v>7429.65</v>
      </c>
      <c r="L169" s="196">
        <v>0</v>
      </c>
    </row>
    <row r="170" spans="1:12" x14ac:dyDescent="0.25">
      <c r="A170" s="194" t="s">
        <v>839</v>
      </c>
      <c r="B170" s="195" t="s">
        <v>840</v>
      </c>
      <c r="C170" s="196">
        <v>0</v>
      </c>
      <c r="D170" s="196">
        <v>0</v>
      </c>
      <c r="E170" s="196">
        <v>0</v>
      </c>
      <c r="F170" s="196">
        <v>10666.43</v>
      </c>
      <c r="G170" s="196">
        <v>0</v>
      </c>
      <c r="H170" s="196">
        <v>187.33</v>
      </c>
      <c r="I170" s="196">
        <v>0</v>
      </c>
      <c r="J170" s="196">
        <v>10853.76</v>
      </c>
      <c r="K170" s="196">
        <v>0</v>
      </c>
      <c r="L170" s="196">
        <v>10853.76</v>
      </c>
    </row>
    <row r="171" spans="1:12" x14ac:dyDescent="0.25">
      <c r="A171" s="194" t="s">
        <v>841</v>
      </c>
      <c r="B171" s="195" t="s">
        <v>842</v>
      </c>
      <c r="C171" s="196">
        <v>0</v>
      </c>
      <c r="D171" s="196">
        <v>0</v>
      </c>
      <c r="E171" s="196">
        <v>0</v>
      </c>
      <c r="F171" s="196">
        <v>33151.01</v>
      </c>
      <c r="G171" s="196">
        <v>0</v>
      </c>
      <c r="H171" s="196">
        <v>1673.67</v>
      </c>
      <c r="I171" s="196">
        <v>0</v>
      </c>
      <c r="J171" s="196">
        <v>34824.68</v>
      </c>
      <c r="K171" s="196">
        <v>0</v>
      </c>
      <c r="L171" s="196">
        <v>34824.68</v>
      </c>
    </row>
    <row r="172" spans="1:12" x14ac:dyDescent="0.25">
      <c r="A172" s="194" t="s">
        <v>843</v>
      </c>
      <c r="B172" s="195" t="s">
        <v>844</v>
      </c>
      <c r="C172" s="196">
        <v>0</v>
      </c>
      <c r="D172" s="196">
        <v>0</v>
      </c>
      <c r="E172" s="196">
        <v>0</v>
      </c>
      <c r="F172" s="196">
        <v>4624.58</v>
      </c>
      <c r="G172" s="196">
        <v>0</v>
      </c>
      <c r="H172" s="196">
        <v>2550.6799999999998</v>
      </c>
      <c r="I172" s="196">
        <v>0</v>
      </c>
      <c r="J172" s="196">
        <v>7175.26</v>
      </c>
      <c r="K172" s="196">
        <v>0</v>
      </c>
      <c r="L172" s="196">
        <v>7175.26</v>
      </c>
    </row>
    <row r="173" spans="1:12" x14ac:dyDescent="0.25">
      <c r="A173" s="194" t="s">
        <v>845</v>
      </c>
      <c r="B173" s="195" t="s">
        <v>846</v>
      </c>
      <c r="C173" s="196">
        <v>0</v>
      </c>
      <c r="D173" s="196">
        <v>0</v>
      </c>
      <c r="E173" s="196">
        <v>0</v>
      </c>
      <c r="F173" s="196">
        <v>80682.34</v>
      </c>
      <c r="G173" s="196">
        <v>0</v>
      </c>
      <c r="H173" s="196">
        <v>7551.91</v>
      </c>
      <c r="I173" s="196">
        <v>0</v>
      </c>
      <c r="J173" s="196">
        <v>88234.25</v>
      </c>
      <c r="K173" s="196">
        <v>0</v>
      </c>
      <c r="L173" s="196">
        <v>88234.25</v>
      </c>
    </row>
    <row r="174" spans="1:12" x14ac:dyDescent="0.25">
      <c r="A174" s="194" t="s">
        <v>847</v>
      </c>
      <c r="B174" s="195" t="s">
        <v>848</v>
      </c>
      <c r="C174" s="196">
        <v>0</v>
      </c>
      <c r="D174" s="196">
        <v>0</v>
      </c>
      <c r="E174" s="196">
        <v>0</v>
      </c>
      <c r="F174" s="196">
        <v>2388224.5099999998</v>
      </c>
      <c r="G174" s="196">
        <v>0</v>
      </c>
      <c r="H174" s="196">
        <v>101788.15</v>
      </c>
      <c r="I174" s="196">
        <v>0</v>
      </c>
      <c r="J174" s="196">
        <v>2490012.66</v>
      </c>
      <c r="K174" s="196">
        <v>0</v>
      </c>
      <c r="L174" s="196">
        <v>2490012.66</v>
      </c>
    </row>
    <row r="175" spans="1:12" x14ac:dyDescent="0.25">
      <c r="A175" s="194" t="s">
        <v>849</v>
      </c>
      <c r="B175" s="195" t="s">
        <v>850</v>
      </c>
      <c r="C175" s="196">
        <v>0</v>
      </c>
      <c r="D175" s="196">
        <v>0</v>
      </c>
      <c r="E175" s="196">
        <v>0</v>
      </c>
      <c r="F175" s="196">
        <v>1533517.54</v>
      </c>
      <c r="G175" s="196">
        <v>0</v>
      </c>
      <c r="H175" s="196">
        <v>123029.03</v>
      </c>
      <c r="I175" s="196">
        <v>0</v>
      </c>
      <c r="J175" s="196">
        <v>1656546.57</v>
      </c>
      <c r="K175" s="196">
        <v>0</v>
      </c>
      <c r="L175" s="196">
        <v>1656546.57</v>
      </c>
    </row>
    <row r="176" spans="1:12" x14ac:dyDescent="0.25">
      <c r="A176" s="194" t="s">
        <v>851</v>
      </c>
      <c r="B176" s="195" t="s">
        <v>852</v>
      </c>
      <c r="C176" s="196">
        <v>0</v>
      </c>
      <c r="D176" s="196">
        <v>0</v>
      </c>
      <c r="E176" s="196">
        <v>0</v>
      </c>
      <c r="F176" s="196">
        <v>1007267.4</v>
      </c>
      <c r="G176" s="196">
        <v>0</v>
      </c>
      <c r="H176" s="196">
        <v>0</v>
      </c>
      <c r="I176" s="196">
        <v>0</v>
      </c>
      <c r="J176" s="196">
        <v>1007267.4</v>
      </c>
      <c r="K176" s="196">
        <v>0</v>
      </c>
      <c r="L176" s="196">
        <v>1007267.4</v>
      </c>
    </row>
    <row r="177" spans="1:12" x14ac:dyDescent="0.25">
      <c r="A177" s="194" t="s">
        <v>853</v>
      </c>
      <c r="B177" s="195" t="s">
        <v>854</v>
      </c>
      <c r="C177" s="196">
        <v>0</v>
      </c>
      <c r="D177" s="196">
        <v>0</v>
      </c>
      <c r="E177" s="196">
        <v>0</v>
      </c>
      <c r="F177" s="196">
        <v>0</v>
      </c>
      <c r="G177" s="196">
        <v>0</v>
      </c>
      <c r="H177" s="196">
        <v>564.91999999999996</v>
      </c>
      <c r="I177" s="196">
        <v>0</v>
      </c>
      <c r="J177" s="196">
        <v>564.91999999999996</v>
      </c>
      <c r="K177" s="196">
        <v>0</v>
      </c>
      <c r="L177" s="196">
        <v>564.91999999999996</v>
      </c>
    </row>
    <row r="178" spans="1:12" x14ac:dyDescent="0.25">
      <c r="A178" s="194" t="s">
        <v>855</v>
      </c>
      <c r="B178" s="195" t="s">
        <v>856</v>
      </c>
      <c r="C178" s="196">
        <v>0</v>
      </c>
      <c r="D178" s="196">
        <v>0</v>
      </c>
      <c r="E178" s="196">
        <v>0</v>
      </c>
      <c r="F178" s="196">
        <v>306662.23</v>
      </c>
      <c r="G178" s="196">
        <v>0</v>
      </c>
      <c r="H178" s="196">
        <v>13651.71</v>
      </c>
      <c r="I178" s="196">
        <v>0</v>
      </c>
      <c r="J178" s="196">
        <v>320313.94</v>
      </c>
      <c r="K178" s="196">
        <v>0</v>
      </c>
      <c r="L178" s="196">
        <v>320313.94</v>
      </c>
    </row>
    <row r="179" spans="1:12" x14ac:dyDescent="0.25">
      <c r="A179" s="194" t="s">
        <v>857</v>
      </c>
      <c r="B179" s="195" t="s">
        <v>858</v>
      </c>
      <c r="C179" s="196">
        <v>0</v>
      </c>
      <c r="D179" s="196">
        <v>0</v>
      </c>
      <c r="E179" s="196">
        <v>0</v>
      </c>
      <c r="F179" s="196">
        <v>100311.5</v>
      </c>
      <c r="G179" s="196">
        <v>0</v>
      </c>
      <c r="H179" s="196">
        <v>2143.29</v>
      </c>
      <c r="I179" s="196">
        <v>0</v>
      </c>
      <c r="J179" s="196">
        <v>102454.79</v>
      </c>
      <c r="K179" s="196">
        <v>0</v>
      </c>
      <c r="L179" s="196">
        <v>102454.79</v>
      </c>
    </row>
    <row r="180" spans="1:12" x14ac:dyDescent="0.25">
      <c r="A180" s="194" t="s">
        <v>861</v>
      </c>
      <c r="B180" s="195" t="s">
        <v>862</v>
      </c>
      <c r="C180" s="196">
        <v>0</v>
      </c>
      <c r="D180" s="196">
        <v>0</v>
      </c>
      <c r="E180" s="196">
        <v>0</v>
      </c>
      <c r="F180" s="196">
        <v>8075.14</v>
      </c>
      <c r="G180" s="196">
        <v>0</v>
      </c>
      <c r="H180" s="196">
        <v>6.9</v>
      </c>
      <c r="I180" s="196">
        <v>0</v>
      </c>
      <c r="J180" s="196">
        <v>8082.04</v>
      </c>
      <c r="K180" s="196">
        <v>0</v>
      </c>
      <c r="L180" s="196">
        <v>8082.04</v>
      </c>
    </row>
    <row r="181" spans="1:12" x14ac:dyDescent="0.25">
      <c r="A181" s="194" t="s">
        <v>863</v>
      </c>
      <c r="B181" s="195" t="s">
        <v>864</v>
      </c>
      <c r="C181" s="196">
        <v>0</v>
      </c>
      <c r="D181" s="196">
        <v>0</v>
      </c>
      <c r="E181" s="196">
        <v>0</v>
      </c>
      <c r="F181" s="196">
        <v>2300.27</v>
      </c>
      <c r="G181" s="196">
        <v>0</v>
      </c>
      <c r="H181" s="196">
        <v>0</v>
      </c>
      <c r="I181" s="196">
        <v>0</v>
      </c>
      <c r="J181" s="196">
        <v>2300.27</v>
      </c>
      <c r="K181" s="196">
        <v>0</v>
      </c>
      <c r="L181" s="196">
        <v>2300.27</v>
      </c>
    </row>
    <row r="182" spans="1:12" x14ac:dyDescent="0.25">
      <c r="A182" s="194" t="s">
        <v>865</v>
      </c>
      <c r="B182" s="195" t="s">
        <v>866</v>
      </c>
      <c r="C182" s="196">
        <v>0</v>
      </c>
      <c r="D182" s="196">
        <v>0</v>
      </c>
      <c r="E182" s="196">
        <v>0</v>
      </c>
      <c r="F182" s="196">
        <v>5299.45</v>
      </c>
      <c r="G182" s="196">
        <v>0</v>
      </c>
      <c r="H182" s="196">
        <v>9440.02</v>
      </c>
      <c r="I182" s="196">
        <v>0</v>
      </c>
      <c r="J182" s="196">
        <v>14739.47</v>
      </c>
      <c r="K182" s="196">
        <v>0</v>
      </c>
      <c r="L182" s="196">
        <v>14739.47</v>
      </c>
    </row>
    <row r="183" spans="1:12" x14ac:dyDescent="0.25">
      <c r="A183" s="194" t="s">
        <v>867</v>
      </c>
      <c r="B183" s="195" t="s">
        <v>810</v>
      </c>
      <c r="C183" s="196">
        <v>0</v>
      </c>
      <c r="D183" s="196">
        <v>0</v>
      </c>
      <c r="E183" s="196">
        <v>0</v>
      </c>
      <c r="F183" s="196">
        <v>-2.71</v>
      </c>
      <c r="G183" s="196">
        <v>0.08</v>
      </c>
      <c r="H183" s="196">
        <v>0.19</v>
      </c>
      <c r="I183" s="196">
        <v>4.05</v>
      </c>
      <c r="J183" s="196">
        <v>1.45</v>
      </c>
      <c r="K183" s="196">
        <v>0</v>
      </c>
      <c r="L183" s="196">
        <v>-2.6</v>
      </c>
    </row>
    <row r="184" spans="1:12" x14ac:dyDescent="0.25">
      <c r="A184" s="194" t="s">
        <v>868</v>
      </c>
      <c r="B184" s="195" t="s">
        <v>814</v>
      </c>
      <c r="C184" s="196">
        <v>0</v>
      </c>
      <c r="D184" s="196">
        <v>0</v>
      </c>
      <c r="E184" s="196">
        <v>0</v>
      </c>
      <c r="F184" s="196">
        <v>0.69</v>
      </c>
      <c r="G184" s="196">
        <v>0</v>
      </c>
      <c r="H184" s="196">
        <v>0</v>
      </c>
      <c r="I184" s="196">
        <v>0</v>
      </c>
      <c r="J184" s="196">
        <v>0.69</v>
      </c>
      <c r="K184" s="196">
        <v>0</v>
      </c>
      <c r="L184" s="196">
        <v>0.69</v>
      </c>
    </row>
    <row r="185" spans="1:12" x14ac:dyDescent="0.25">
      <c r="A185" s="194" t="s">
        <v>869</v>
      </c>
      <c r="B185" s="195" t="s">
        <v>870</v>
      </c>
      <c r="C185" s="196">
        <v>0</v>
      </c>
      <c r="D185" s="196">
        <v>0</v>
      </c>
      <c r="E185" s="196">
        <v>0</v>
      </c>
      <c r="F185" s="196">
        <v>75.62</v>
      </c>
      <c r="G185" s="196">
        <v>0</v>
      </c>
      <c r="H185" s="196">
        <v>0</v>
      </c>
      <c r="I185" s="196">
        <v>0</v>
      </c>
      <c r="J185" s="196">
        <v>75.62</v>
      </c>
      <c r="K185" s="196">
        <v>0</v>
      </c>
      <c r="L185" s="196">
        <v>75.62</v>
      </c>
    </row>
    <row r="186" spans="1:12" x14ac:dyDescent="0.25">
      <c r="A186" s="194" t="s">
        <v>871</v>
      </c>
      <c r="B186" s="195" t="s">
        <v>872</v>
      </c>
      <c r="C186" s="196">
        <v>0</v>
      </c>
      <c r="D186" s="196">
        <v>0</v>
      </c>
      <c r="E186" s="196">
        <v>0</v>
      </c>
      <c r="F186" s="196">
        <v>5.72</v>
      </c>
      <c r="G186" s="196">
        <v>0</v>
      </c>
      <c r="H186" s="196">
        <v>0.13</v>
      </c>
      <c r="I186" s="196">
        <v>0</v>
      </c>
      <c r="J186" s="196">
        <v>5.85</v>
      </c>
      <c r="K186" s="196">
        <v>0</v>
      </c>
      <c r="L186" s="196">
        <v>5.85</v>
      </c>
    </row>
    <row r="187" spans="1:12" x14ac:dyDescent="0.25">
      <c r="A187" s="194" t="s">
        <v>873</v>
      </c>
      <c r="B187" s="195" t="s">
        <v>874</v>
      </c>
      <c r="C187" s="196">
        <v>0</v>
      </c>
      <c r="D187" s="196">
        <v>0</v>
      </c>
      <c r="E187" s="196">
        <v>0</v>
      </c>
      <c r="F187" s="196">
        <v>46984.84</v>
      </c>
      <c r="G187" s="196">
        <v>0</v>
      </c>
      <c r="H187" s="196">
        <v>-46984.84</v>
      </c>
      <c r="I187" s="196">
        <v>0</v>
      </c>
      <c r="J187" s="196">
        <v>0</v>
      </c>
      <c r="K187" s="196">
        <v>0</v>
      </c>
      <c r="L187" s="196">
        <v>0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4"/>
  <sheetViews>
    <sheetView topLeftCell="A52" workbookViewId="0">
      <selection activeCell="B2" sqref="B2"/>
    </sheetView>
  </sheetViews>
  <sheetFormatPr defaultRowHeight="15" x14ac:dyDescent="0.25"/>
  <cols>
    <col min="1" max="1" width="16.140625" style="194" customWidth="1"/>
    <col min="2" max="2" width="46.7109375" style="195" customWidth="1"/>
    <col min="3" max="3" width="15.28515625" style="196" customWidth="1"/>
    <col min="4" max="4" width="15.28515625" style="196" bestFit="1" customWidth="1"/>
    <col min="5" max="5" width="15.140625" style="196" customWidth="1"/>
    <col min="6" max="7" width="15.28515625" style="196" bestFit="1" customWidth="1"/>
    <col min="8" max="8" width="15.28515625" style="196" customWidth="1"/>
    <col min="9" max="11" width="15.28515625" style="196" bestFit="1" customWidth="1"/>
    <col min="12" max="12" width="14.85546875" style="196" customWidth="1"/>
    <col min="13" max="16384" width="9.140625" style="190"/>
  </cols>
  <sheetData>
    <row r="1" spans="1:12" ht="22.5" x14ac:dyDescent="0.25">
      <c r="A1" s="200" t="s">
        <v>536</v>
      </c>
      <c r="B1" s="201" t="s">
        <v>537</v>
      </c>
      <c r="C1" s="202" t="s">
        <v>516</v>
      </c>
      <c r="D1" s="202" t="s">
        <v>517</v>
      </c>
      <c r="E1" s="202" t="s">
        <v>518</v>
      </c>
      <c r="F1" s="202" t="s">
        <v>519</v>
      </c>
      <c r="G1" s="202" t="s">
        <v>520</v>
      </c>
      <c r="H1" s="202" t="s">
        <v>521</v>
      </c>
      <c r="I1" s="202" t="s">
        <v>522</v>
      </c>
      <c r="J1" s="202" t="s">
        <v>523</v>
      </c>
      <c r="K1" s="202" t="s">
        <v>524</v>
      </c>
      <c r="L1" s="202" t="s">
        <v>525</v>
      </c>
    </row>
    <row r="2" spans="1:12" x14ac:dyDescent="0.25">
      <c r="A2" s="191" t="s">
        <v>875</v>
      </c>
      <c r="B2" s="192" t="s">
        <v>539</v>
      </c>
      <c r="C2" s="193">
        <v>14846.87</v>
      </c>
      <c r="D2" s="193">
        <v>0</v>
      </c>
      <c r="E2" s="193">
        <v>14846.87</v>
      </c>
      <c r="F2" s="193">
        <v>0</v>
      </c>
      <c r="G2" s="193">
        <v>0</v>
      </c>
      <c r="H2" s="193">
        <v>0</v>
      </c>
      <c r="I2" s="193">
        <v>0</v>
      </c>
      <c r="J2" s="193">
        <v>0</v>
      </c>
      <c r="K2" s="193">
        <v>14846.87</v>
      </c>
      <c r="L2" s="193">
        <v>0</v>
      </c>
    </row>
    <row r="3" spans="1:12" x14ac:dyDescent="0.25">
      <c r="A3" s="191" t="s">
        <v>1190</v>
      </c>
      <c r="B3" s="192" t="s">
        <v>442</v>
      </c>
      <c r="C3" s="193">
        <v>1885.41</v>
      </c>
      <c r="D3" s="193">
        <v>0</v>
      </c>
      <c r="E3" s="193">
        <v>0</v>
      </c>
      <c r="F3" s="193">
        <v>0</v>
      </c>
      <c r="G3" s="193">
        <v>0</v>
      </c>
      <c r="H3" s="193">
        <v>0</v>
      </c>
      <c r="I3" s="193">
        <v>0</v>
      </c>
      <c r="J3" s="193">
        <v>1885.41</v>
      </c>
      <c r="K3" s="193">
        <v>0</v>
      </c>
      <c r="L3" s="193">
        <v>0</v>
      </c>
    </row>
    <row r="4" spans="1:12" x14ac:dyDescent="0.25">
      <c r="A4" s="191" t="s">
        <v>876</v>
      </c>
      <c r="B4" s="192" t="s">
        <v>877</v>
      </c>
      <c r="C4" s="193">
        <v>1648932.74</v>
      </c>
      <c r="D4" s="193">
        <v>0</v>
      </c>
      <c r="E4" s="193">
        <v>1707272.37</v>
      </c>
      <c r="F4" s="193">
        <v>0</v>
      </c>
      <c r="G4" s="193">
        <v>0</v>
      </c>
      <c r="H4" s="193">
        <v>0</v>
      </c>
      <c r="I4" s="193">
        <v>58339.63</v>
      </c>
      <c r="J4" s="193">
        <v>0</v>
      </c>
      <c r="K4" s="193">
        <v>1707272.37</v>
      </c>
      <c r="L4" s="193">
        <v>0</v>
      </c>
    </row>
    <row r="5" spans="1:12" x14ac:dyDescent="0.25">
      <c r="A5" s="191" t="s">
        <v>878</v>
      </c>
      <c r="B5" s="192" t="s">
        <v>879</v>
      </c>
      <c r="C5" s="193">
        <v>786492.8</v>
      </c>
      <c r="D5" s="193">
        <v>0</v>
      </c>
      <c r="E5" s="193">
        <v>813196.63</v>
      </c>
      <c r="F5" s="193">
        <v>0</v>
      </c>
      <c r="G5" s="193">
        <v>0</v>
      </c>
      <c r="H5" s="193">
        <v>7819.12</v>
      </c>
      <c r="I5" s="193">
        <v>44061.89</v>
      </c>
      <c r="J5" s="193">
        <v>25177.18</v>
      </c>
      <c r="K5" s="193">
        <v>805377.51</v>
      </c>
      <c r="L5" s="193">
        <v>0</v>
      </c>
    </row>
    <row r="6" spans="1:12" x14ac:dyDescent="0.25">
      <c r="A6" s="191" t="s">
        <v>880</v>
      </c>
      <c r="B6" s="192" t="s">
        <v>41</v>
      </c>
      <c r="C6" s="193">
        <v>103220.21</v>
      </c>
      <c r="D6" s="193">
        <v>0</v>
      </c>
      <c r="E6" s="193">
        <v>103220.21</v>
      </c>
      <c r="F6" s="193">
        <v>0</v>
      </c>
      <c r="G6" s="193">
        <v>0</v>
      </c>
      <c r="H6" s="193">
        <v>0</v>
      </c>
      <c r="I6" s="193">
        <v>0</v>
      </c>
      <c r="J6" s="193">
        <v>0</v>
      </c>
      <c r="K6" s="193">
        <v>103220.21</v>
      </c>
      <c r="L6" s="193">
        <v>0</v>
      </c>
    </row>
    <row r="7" spans="1:12" x14ac:dyDescent="0.25">
      <c r="A7" s="191" t="s">
        <v>881</v>
      </c>
      <c r="B7" s="192" t="s">
        <v>545</v>
      </c>
      <c r="C7" s="193">
        <v>45210.36</v>
      </c>
      <c r="D7" s="193">
        <v>0</v>
      </c>
      <c r="E7" s="193">
        <v>45310.36</v>
      </c>
      <c r="F7" s="193">
        <v>0</v>
      </c>
      <c r="G7" s="193">
        <v>1607.22</v>
      </c>
      <c r="H7" s="193">
        <v>0</v>
      </c>
      <c r="I7" s="193">
        <v>104108.74</v>
      </c>
      <c r="J7" s="193">
        <v>102401.52</v>
      </c>
      <c r="K7" s="193">
        <v>46917.58</v>
      </c>
      <c r="L7" s="193">
        <v>0</v>
      </c>
    </row>
    <row r="8" spans="1:12" x14ac:dyDescent="0.25">
      <c r="A8" s="191" t="s">
        <v>882</v>
      </c>
      <c r="B8" s="192" t="s">
        <v>549</v>
      </c>
      <c r="C8" s="193">
        <v>0</v>
      </c>
      <c r="D8" s="193">
        <v>14348.87</v>
      </c>
      <c r="E8" s="193">
        <v>0</v>
      </c>
      <c r="F8" s="193">
        <v>14810.87</v>
      </c>
      <c r="G8" s="193">
        <v>0</v>
      </c>
      <c r="H8" s="193">
        <v>36</v>
      </c>
      <c r="I8" s="193">
        <v>0</v>
      </c>
      <c r="J8" s="193">
        <v>498</v>
      </c>
      <c r="K8" s="193">
        <v>0</v>
      </c>
      <c r="L8" s="193">
        <v>14846.87</v>
      </c>
    </row>
    <row r="9" spans="1:12" x14ac:dyDescent="0.25">
      <c r="A9" s="191" t="s">
        <v>1313</v>
      </c>
      <c r="B9" s="192" t="s">
        <v>1444</v>
      </c>
      <c r="C9" s="193">
        <v>0</v>
      </c>
      <c r="D9" s="193">
        <v>1885.41</v>
      </c>
      <c r="E9" s="193">
        <v>0</v>
      </c>
      <c r="F9" s="193">
        <v>0</v>
      </c>
      <c r="G9" s="193">
        <v>0</v>
      </c>
      <c r="H9" s="193">
        <v>0</v>
      </c>
      <c r="I9" s="193">
        <v>1885.41</v>
      </c>
      <c r="J9" s="193">
        <v>0</v>
      </c>
      <c r="K9" s="193">
        <v>0</v>
      </c>
      <c r="L9" s="193">
        <v>0</v>
      </c>
    </row>
    <row r="10" spans="1:12" x14ac:dyDescent="0.25">
      <c r="A10" s="191" t="s">
        <v>883</v>
      </c>
      <c r="B10" s="192" t="s">
        <v>884</v>
      </c>
      <c r="C10" s="193">
        <v>0</v>
      </c>
      <c r="D10" s="193">
        <v>564162.93999999994</v>
      </c>
      <c r="E10" s="193">
        <v>0</v>
      </c>
      <c r="F10" s="193">
        <v>663675.93999999994</v>
      </c>
      <c r="G10" s="193">
        <v>0</v>
      </c>
      <c r="H10" s="193">
        <v>9162.65</v>
      </c>
      <c r="I10" s="193">
        <v>0</v>
      </c>
      <c r="J10" s="193">
        <v>108675.65</v>
      </c>
      <c r="K10" s="193">
        <v>0</v>
      </c>
      <c r="L10" s="193">
        <v>672838.59</v>
      </c>
    </row>
    <row r="11" spans="1:12" x14ac:dyDescent="0.25">
      <c r="A11" s="191" t="s">
        <v>885</v>
      </c>
      <c r="B11" s="192" t="s">
        <v>886</v>
      </c>
      <c r="C11" s="193">
        <v>0</v>
      </c>
      <c r="D11" s="193">
        <v>592166.18000000005</v>
      </c>
      <c r="E11" s="193">
        <v>0</v>
      </c>
      <c r="F11" s="193">
        <v>651655.22</v>
      </c>
      <c r="G11" s="193">
        <v>7819.12</v>
      </c>
      <c r="H11" s="193">
        <v>5277.52</v>
      </c>
      <c r="I11" s="193">
        <v>25177.18</v>
      </c>
      <c r="J11" s="193">
        <v>82124.62</v>
      </c>
      <c r="K11" s="193">
        <v>0</v>
      </c>
      <c r="L11" s="193">
        <v>649113.62</v>
      </c>
    </row>
    <row r="12" spans="1:12" x14ac:dyDescent="0.25">
      <c r="A12" s="191" t="s">
        <v>887</v>
      </c>
      <c r="B12" s="192" t="s">
        <v>555</v>
      </c>
      <c r="C12" s="193">
        <v>0</v>
      </c>
      <c r="D12" s="193">
        <v>0</v>
      </c>
      <c r="E12" s="193">
        <v>0</v>
      </c>
      <c r="F12" s="193">
        <v>0</v>
      </c>
      <c r="G12" s="193">
        <v>894.4</v>
      </c>
      <c r="H12" s="193">
        <v>894.4</v>
      </c>
      <c r="I12" s="193">
        <v>27054.83</v>
      </c>
      <c r="J12" s="193">
        <v>27054.83</v>
      </c>
      <c r="K12" s="193">
        <v>0</v>
      </c>
      <c r="L12" s="193">
        <v>0</v>
      </c>
    </row>
    <row r="13" spans="1:12" x14ac:dyDescent="0.25">
      <c r="A13" s="191" t="s">
        <v>888</v>
      </c>
      <c r="B13" s="192" t="s">
        <v>557</v>
      </c>
      <c r="C13" s="193">
        <v>11406.8</v>
      </c>
      <c r="D13" s="193">
        <v>0</v>
      </c>
      <c r="E13" s="193">
        <v>34013.35</v>
      </c>
      <c r="F13" s="193">
        <v>0</v>
      </c>
      <c r="G13" s="193">
        <v>1204.4100000000001</v>
      </c>
      <c r="H13" s="193">
        <v>18520.55</v>
      </c>
      <c r="I13" s="193">
        <v>27364.84</v>
      </c>
      <c r="J13" s="193">
        <v>22074.43</v>
      </c>
      <c r="K13" s="193">
        <v>16697.21</v>
      </c>
      <c r="L13" s="193">
        <v>0</v>
      </c>
    </row>
    <row r="14" spans="1:12" x14ac:dyDescent="0.25">
      <c r="A14" s="191" t="s">
        <v>889</v>
      </c>
      <c r="B14" s="192" t="s">
        <v>559</v>
      </c>
      <c r="C14" s="193">
        <v>0</v>
      </c>
      <c r="D14" s="193">
        <v>0</v>
      </c>
      <c r="E14" s="193">
        <v>29291.68</v>
      </c>
      <c r="F14" s="193">
        <v>0</v>
      </c>
      <c r="G14" s="193">
        <v>127743.98</v>
      </c>
      <c r="H14" s="193">
        <v>157035.66</v>
      </c>
      <c r="I14" s="193">
        <v>4509949.0599999996</v>
      </c>
      <c r="J14" s="193">
        <v>4509949.0599999996</v>
      </c>
      <c r="K14" s="193">
        <v>0</v>
      </c>
      <c r="L14" s="193">
        <v>0</v>
      </c>
    </row>
    <row r="15" spans="1:12" x14ac:dyDescent="0.25">
      <c r="A15" s="191" t="s">
        <v>890</v>
      </c>
      <c r="B15" s="192" t="s">
        <v>891</v>
      </c>
      <c r="C15" s="193">
        <v>1016907.52</v>
      </c>
      <c r="D15" s="193">
        <v>0</v>
      </c>
      <c r="E15" s="193">
        <v>1170686.6000000001</v>
      </c>
      <c r="F15" s="193">
        <v>0</v>
      </c>
      <c r="G15" s="193">
        <v>179597.95</v>
      </c>
      <c r="H15" s="193">
        <v>229552.44</v>
      </c>
      <c r="I15" s="193">
        <v>4942394.5999999996</v>
      </c>
      <c r="J15" s="193">
        <v>4838570.01</v>
      </c>
      <c r="K15" s="193">
        <v>1120732.1100000001</v>
      </c>
      <c r="L15" s="193">
        <v>0</v>
      </c>
    </row>
    <row r="16" spans="1:12" x14ac:dyDescent="0.25">
      <c r="A16" s="191" t="s">
        <v>892</v>
      </c>
      <c r="B16" s="192" t="s">
        <v>569</v>
      </c>
      <c r="C16" s="193">
        <v>16516.12</v>
      </c>
      <c r="D16" s="193">
        <v>0</v>
      </c>
      <c r="E16" s="193">
        <v>32166.58</v>
      </c>
      <c r="F16" s="193">
        <v>0</v>
      </c>
      <c r="G16" s="193">
        <v>237551.27</v>
      </c>
      <c r="H16" s="193">
        <v>243366.68</v>
      </c>
      <c r="I16" s="193">
        <v>4642461.2300000004</v>
      </c>
      <c r="J16" s="193">
        <v>4632626.18</v>
      </c>
      <c r="K16" s="193">
        <v>26351.17</v>
      </c>
      <c r="L16" s="193">
        <v>0</v>
      </c>
    </row>
    <row r="17" spans="1:12" x14ac:dyDescent="0.25">
      <c r="A17" s="191" t="s">
        <v>893</v>
      </c>
      <c r="B17" s="192" t="s">
        <v>894</v>
      </c>
      <c r="C17" s="193">
        <v>279.3</v>
      </c>
      <c r="D17" s="193">
        <v>0</v>
      </c>
      <c r="E17" s="193">
        <v>-141.47999999999999</v>
      </c>
      <c r="F17" s="193">
        <v>0</v>
      </c>
      <c r="G17" s="193">
        <v>1515</v>
      </c>
      <c r="H17" s="193">
        <v>1082.52</v>
      </c>
      <c r="I17" s="193">
        <v>20848.599999999999</v>
      </c>
      <c r="J17" s="193">
        <v>20836.900000000001</v>
      </c>
      <c r="K17" s="193">
        <v>291</v>
      </c>
      <c r="L17" s="193">
        <v>0</v>
      </c>
    </row>
    <row r="18" spans="1:12" x14ac:dyDescent="0.25">
      <c r="A18" s="191" t="s">
        <v>895</v>
      </c>
      <c r="B18" s="192" t="s">
        <v>896</v>
      </c>
      <c r="C18" s="193">
        <v>0</v>
      </c>
      <c r="D18" s="193">
        <v>0</v>
      </c>
      <c r="E18" s="193">
        <v>-440665.71</v>
      </c>
      <c r="F18" s="193">
        <v>0</v>
      </c>
      <c r="G18" s="193">
        <v>846954.09</v>
      </c>
      <c r="H18" s="193">
        <v>406288.38</v>
      </c>
      <c r="I18" s="193">
        <v>7162131.4299999997</v>
      </c>
      <c r="J18" s="193">
        <v>7162131.4299999997</v>
      </c>
      <c r="K18" s="193">
        <v>0</v>
      </c>
      <c r="L18" s="193">
        <v>0</v>
      </c>
    </row>
    <row r="19" spans="1:12" x14ac:dyDescent="0.25">
      <c r="A19" s="191" t="s">
        <v>897</v>
      </c>
      <c r="B19" s="192" t="s">
        <v>251</v>
      </c>
      <c r="C19" s="193">
        <v>0</v>
      </c>
      <c r="D19" s="193">
        <v>402502.75</v>
      </c>
      <c r="E19" s="193">
        <v>0</v>
      </c>
      <c r="F19" s="193">
        <v>0</v>
      </c>
      <c r="G19" s="193">
        <v>0</v>
      </c>
      <c r="H19" s="193">
        <v>448254.79</v>
      </c>
      <c r="I19" s="193">
        <v>402502.75</v>
      </c>
      <c r="J19" s="193">
        <v>448254.79</v>
      </c>
      <c r="K19" s="193">
        <v>0</v>
      </c>
      <c r="L19" s="193">
        <v>448254.79</v>
      </c>
    </row>
    <row r="20" spans="1:12" x14ac:dyDescent="0.25">
      <c r="A20" s="191" t="s">
        <v>898</v>
      </c>
      <c r="B20" s="192" t="s">
        <v>580</v>
      </c>
      <c r="C20" s="193">
        <v>0</v>
      </c>
      <c r="D20" s="193">
        <v>0</v>
      </c>
      <c r="E20" s="193">
        <v>0</v>
      </c>
      <c r="F20" s="193">
        <v>0</v>
      </c>
      <c r="G20" s="193">
        <v>0</v>
      </c>
      <c r="H20" s="193">
        <v>43555.14</v>
      </c>
      <c r="I20" s="193">
        <v>25000</v>
      </c>
      <c r="J20" s="193">
        <v>68555.14</v>
      </c>
      <c r="K20" s="193">
        <v>0</v>
      </c>
      <c r="L20" s="193">
        <v>43555.14</v>
      </c>
    </row>
    <row r="21" spans="1:12" x14ac:dyDescent="0.25">
      <c r="A21" s="191" t="s">
        <v>899</v>
      </c>
      <c r="B21" s="192" t="s">
        <v>582</v>
      </c>
      <c r="C21" s="193">
        <v>0</v>
      </c>
      <c r="D21" s="193">
        <v>0</v>
      </c>
      <c r="E21" s="193">
        <v>-6452.83</v>
      </c>
      <c r="F21" s="193">
        <v>0</v>
      </c>
      <c r="G21" s="193">
        <v>400968.75</v>
      </c>
      <c r="H21" s="193">
        <v>394515.92</v>
      </c>
      <c r="I21" s="193">
        <v>8114083.8300000001</v>
      </c>
      <c r="J21" s="193">
        <v>8114083.8300000001</v>
      </c>
      <c r="K21" s="193">
        <v>0</v>
      </c>
      <c r="L21" s="193">
        <v>0</v>
      </c>
    </row>
    <row r="22" spans="1:12" x14ac:dyDescent="0.25">
      <c r="A22" s="191" t="s">
        <v>900</v>
      </c>
      <c r="B22" s="192" t="s">
        <v>592</v>
      </c>
      <c r="C22" s="193">
        <v>328326.34999999998</v>
      </c>
      <c r="D22" s="193">
        <v>0</v>
      </c>
      <c r="E22" s="193">
        <v>402977.44</v>
      </c>
      <c r="F22" s="193">
        <v>0</v>
      </c>
      <c r="G22" s="193">
        <v>171332.71</v>
      </c>
      <c r="H22" s="193">
        <v>267900.69</v>
      </c>
      <c r="I22" s="193">
        <v>3249385.51</v>
      </c>
      <c r="J22" s="193">
        <v>3271302.4</v>
      </c>
      <c r="K22" s="193">
        <v>306409.46000000002</v>
      </c>
      <c r="L22" s="193">
        <v>0</v>
      </c>
    </row>
    <row r="23" spans="1:12" x14ac:dyDescent="0.25">
      <c r="A23" s="191" t="s">
        <v>901</v>
      </c>
      <c r="B23" s="192" t="s">
        <v>596</v>
      </c>
      <c r="C23" s="193">
        <v>1714.73</v>
      </c>
      <c r="D23" s="193">
        <v>388.37</v>
      </c>
      <c r="E23" s="193">
        <v>38966.26</v>
      </c>
      <c r="F23" s="193">
        <v>20707.37</v>
      </c>
      <c r="G23" s="193">
        <v>-13399.26</v>
      </c>
      <c r="H23" s="193">
        <v>2685.1</v>
      </c>
      <c r="I23" s="193">
        <v>55851.44</v>
      </c>
      <c r="J23" s="193">
        <v>55003.27</v>
      </c>
      <c r="K23" s="193">
        <v>3580.73</v>
      </c>
      <c r="L23" s="193">
        <v>1406.2</v>
      </c>
    </row>
    <row r="24" spans="1:12" x14ac:dyDescent="0.25">
      <c r="A24" s="191" t="s">
        <v>902</v>
      </c>
      <c r="B24" s="192" t="s">
        <v>602</v>
      </c>
      <c r="C24" s="193">
        <v>2223.0700000000002</v>
      </c>
      <c r="D24" s="193">
        <v>0</v>
      </c>
      <c r="E24" s="193">
        <v>2223.0700000000002</v>
      </c>
      <c r="F24" s="193">
        <v>0</v>
      </c>
      <c r="G24" s="193">
        <v>1033.1099999999999</v>
      </c>
      <c r="H24" s="193">
        <v>0</v>
      </c>
      <c r="I24" s="193">
        <v>6400.4</v>
      </c>
      <c r="J24" s="193">
        <v>5367.29</v>
      </c>
      <c r="K24" s="193">
        <v>3256.18</v>
      </c>
      <c r="L24" s="193">
        <v>0</v>
      </c>
    </row>
    <row r="25" spans="1:12" x14ac:dyDescent="0.25">
      <c r="A25" s="191" t="s">
        <v>903</v>
      </c>
      <c r="B25" s="192" t="s">
        <v>608</v>
      </c>
      <c r="C25" s="193">
        <v>0</v>
      </c>
      <c r="D25" s="193">
        <v>394229.33</v>
      </c>
      <c r="E25" s="193">
        <v>0</v>
      </c>
      <c r="F25" s="193">
        <v>638907.65</v>
      </c>
      <c r="G25" s="193">
        <v>352057.31</v>
      </c>
      <c r="H25" s="193">
        <v>223483.54</v>
      </c>
      <c r="I25" s="193">
        <v>6080914.6900000004</v>
      </c>
      <c r="J25" s="193">
        <v>6197019.2400000002</v>
      </c>
      <c r="K25" s="193">
        <v>0</v>
      </c>
      <c r="L25" s="193">
        <v>510333.88</v>
      </c>
    </row>
    <row r="26" spans="1:12" x14ac:dyDescent="0.25">
      <c r="A26" s="191" t="s">
        <v>904</v>
      </c>
      <c r="B26" s="192" t="s">
        <v>612</v>
      </c>
      <c r="C26" s="193">
        <v>0</v>
      </c>
      <c r="D26" s="193">
        <v>21392.48</v>
      </c>
      <c r="E26" s="193">
        <v>0</v>
      </c>
      <c r="F26" s="193">
        <v>1327.76</v>
      </c>
      <c r="G26" s="193">
        <v>1327.76</v>
      </c>
      <c r="H26" s="193">
        <v>27904.98</v>
      </c>
      <c r="I26" s="193">
        <v>21392.48</v>
      </c>
      <c r="J26" s="193">
        <v>27904.98</v>
      </c>
      <c r="K26" s="193">
        <v>0</v>
      </c>
      <c r="L26" s="193">
        <v>27904.98</v>
      </c>
    </row>
    <row r="27" spans="1:12" x14ac:dyDescent="0.25">
      <c r="A27" s="191" t="s">
        <v>905</v>
      </c>
      <c r="B27" s="192" t="s">
        <v>614</v>
      </c>
      <c r="C27" s="193">
        <v>57685.86</v>
      </c>
      <c r="D27" s="193">
        <v>105843.64</v>
      </c>
      <c r="E27" s="193">
        <v>52183.23</v>
      </c>
      <c r="F27" s="193">
        <v>94115.54</v>
      </c>
      <c r="G27" s="193">
        <v>11772.12</v>
      </c>
      <c r="H27" s="193">
        <v>4805.2700000000004</v>
      </c>
      <c r="I27" s="193">
        <v>502687.25</v>
      </c>
      <c r="J27" s="193">
        <v>489494.93</v>
      </c>
      <c r="K27" s="193">
        <v>41918.480000000003</v>
      </c>
      <c r="L27" s="193">
        <v>76883.94</v>
      </c>
    </row>
    <row r="28" spans="1:12" x14ac:dyDescent="0.25">
      <c r="A28" s="191" t="s">
        <v>1469</v>
      </c>
      <c r="B28" s="192" t="s">
        <v>1446</v>
      </c>
      <c r="C28" s="193">
        <v>0</v>
      </c>
      <c r="D28" s="193">
        <v>0</v>
      </c>
      <c r="E28" s="193">
        <v>0</v>
      </c>
      <c r="F28" s="193">
        <v>0</v>
      </c>
      <c r="G28" s="193">
        <v>0</v>
      </c>
      <c r="H28" s="193">
        <v>0</v>
      </c>
      <c r="I28" s="193">
        <v>5367.29</v>
      </c>
      <c r="J28" s="193">
        <v>5367.29</v>
      </c>
      <c r="K28" s="193">
        <v>0</v>
      </c>
      <c r="L28" s="193">
        <v>0</v>
      </c>
    </row>
    <row r="29" spans="1:12" x14ac:dyDescent="0.25">
      <c r="A29" s="191" t="s">
        <v>906</v>
      </c>
      <c r="B29" s="192" t="s">
        <v>907</v>
      </c>
      <c r="C29" s="193">
        <v>0</v>
      </c>
      <c r="D29" s="193">
        <v>2787.66</v>
      </c>
      <c r="E29" s="193">
        <v>0</v>
      </c>
      <c r="F29" s="193">
        <v>0</v>
      </c>
      <c r="G29" s="193">
        <v>0</v>
      </c>
      <c r="H29" s="193">
        <v>3570.98</v>
      </c>
      <c r="I29" s="193">
        <v>2787.66</v>
      </c>
      <c r="J29" s="193">
        <v>3570.98</v>
      </c>
      <c r="K29" s="193">
        <v>0</v>
      </c>
      <c r="L29" s="193">
        <v>3570.98</v>
      </c>
    </row>
    <row r="30" spans="1:12" x14ac:dyDescent="0.25">
      <c r="A30" s="191" t="s">
        <v>908</v>
      </c>
      <c r="B30" s="192" t="s">
        <v>622</v>
      </c>
      <c r="C30" s="193">
        <v>0</v>
      </c>
      <c r="D30" s="193">
        <v>20318.86</v>
      </c>
      <c r="E30" s="193">
        <v>0</v>
      </c>
      <c r="F30" s="193">
        <v>24646.29</v>
      </c>
      <c r="G30" s="193">
        <v>52943.55</v>
      </c>
      <c r="H30" s="193">
        <v>49120.78</v>
      </c>
      <c r="I30" s="193">
        <v>672236.26</v>
      </c>
      <c r="J30" s="193">
        <v>672740.92</v>
      </c>
      <c r="K30" s="193">
        <v>0</v>
      </c>
      <c r="L30" s="193">
        <v>20823.52</v>
      </c>
    </row>
    <row r="31" spans="1:12" x14ac:dyDescent="0.25">
      <c r="A31" s="191" t="s">
        <v>1470</v>
      </c>
      <c r="B31" s="192" t="s">
        <v>1448</v>
      </c>
      <c r="C31" s="193">
        <v>0</v>
      </c>
      <c r="D31" s="193">
        <v>0</v>
      </c>
      <c r="E31" s="193">
        <v>0</v>
      </c>
      <c r="F31" s="193">
        <v>0</v>
      </c>
      <c r="G31" s="193">
        <v>0</v>
      </c>
      <c r="H31" s="193">
        <v>0</v>
      </c>
      <c r="I31" s="193">
        <v>754.22</v>
      </c>
      <c r="J31" s="193">
        <v>754.22</v>
      </c>
      <c r="K31" s="193">
        <v>0</v>
      </c>
      <c r="L31" s="193">
        <v>0</v>
      </c>
    </row>
    <row r="32" spans="1:12" x14ac:dyDescent="0.25">
      <c r="A32" s="191" t="s">
        <v>909</v>
      </c>
      <c r="B32" s="192" t="s">
        <v>626</v>
      </c>
      <c r="C32" s="193">
        <v>3366</v>
      </c>
      <c r="D32" s="193">
        <v>0</v>
      </c>
      <c r="E32" s="193">
        <v>3494.24</v>
      </c>
      <c r="F32" s="193">
        <v>0</v>
      </c>
      <c r="G32" s="193">
        <v>507.82</v>
      </c>
      <c r="H32" s="193">
        <v>636.05999999999995</v>
      </c>
      <c r="I32" s="193">
        <v>9596.2999999999993</v>
      </c>
      <c r="J32" s="193">
        <v>9596.2999999999993</v>
      </c>
      <c r="K32" s="193">
        <v>3366</v>
      </c>
      <c r="L32" s="193">
        <v>0</v>
      </c>
    </row>
    <row r="33" spans="1:12" x14ac:dyDescent="0.25">
      <c r="A33" s="191" t="s">
        <v>910</v>
      </c>
      <c r="B33" s="192" t="s">
        <v>911</v>
      </c>
      <c r="C33" s="193">
        <v>0</v>
      </c>
      <c r="D33" s="193">
        <v>14237.91</v>
      </c>
      <c r="E33" s="193">
        <v>0</v>
      </c>
      <c r="F33" s="193">
        <v>15241.92</v>
      </c>
      <c r="G33" s="193">
        <v>15541.47</v>
      </c>
      <c r="H33" s="193">
        <v>13434.65</v>
      </c>
      <c r="I33" s="193">
        <v>192131.84</v>
      </c>
      <c r="J33" s="193">
        <v>191029.03</v>
      </c>
      <c r="K33" s="193">
        <v>0</v>
      </c>
      <c r="L33" s="193">
        <v>13135.1</v>
      </c>
    </row>
    <row r="34" spans="1:12" x14ac:dyDescent="0.25">
      <c r="A34" s="191" t="s">
        <v>912</v>
      </c>
      <c r="B34" s="192" t="s">
        <v>633</v>
      </c>
      <c r="C34" s="193">
        <v>14669.93</v>
      </c>
      <c r="D34" s="193">
        <v>19758.48</v>
      </c>
      <c r="E34" s="193">
        <v>18111.939999999999</v>
      </c>
      <c r="F34" s="193">
        <v>0</v>
      </c>
      <c r="G34" s="193">
        <v>1646.54</v>
      </c>
      <c r="H34" s="193">
        <v>13398.34</v>
      </c>
      <c r="I34" s="193">
        <v>39602.39</v>
      </c>
      <c r="J34" s="193">
        <v>28153.7</v>
      </c>
      <c r="K34" s="193">
        <v>19758.48</v>
      </c>
      <c r="L34" s="193">
        <v>13398.34</v>
      </c>
    </row>
    <row r="35" spans="1:12" x14ac:dyDescent="0.25">
      <c r="A35" s="191" t="s">
        <v>913</v>
      </c>
      <c r="B35" s="192" t="s">
        <v>914</v>
      </c>
      <c r="C35" s="193">
        <v>0</v>
      </c>
      <c r="D35" s="193">
        <v>2138.09</v>
      </c>
      <c r="E35" s="193">
        <v>0</v>
      </c>
      <c r="F35" s="193">
        <v>2452.5500000000002</v>
      </c>
      <c r="G35" s="193">
        <v>2936.24</v>
      </c>
      <c r="H35" s="193">
        <v>2565.85</v>
      </c>
      <c r="I35" s="193">
        <v>35064.550000000003</v>
      </c>
      <c r="J35" s="193">
        <v>35008.620000000003</v>
      </c>
      <c r="K35" s="193">
        <v>0</v>
      </c>
      <c r="L35" s="193">
        <v>2082.16</v>
      </c>
    </row>
    <row r="36" spans="1:12" x14ac:dyDescent="0.25">
      <c r="A36" s="191" t="s">
        <v>915</v>
      </c>
      <c r="B36" s="192" t="s">
        <v>916</v>
      </c>
      <c r="C36" s="193">
        <v>507.13</v>
      </c>
      <c r="D36" s="193">
        <v>28057.24</v>
      </c>
      <c r="E36" s="193">
        <v>-2362.63</v>
      </c>
      <c r="F36" s="193">
        <v>26553.53</v>
      </c>
      <c r="G36" s="193">
        <v>105303.96</v>
      </c>
      <c r="H36" s="193">
        <v>100665.29</v>
      </c>
      <c r="I36" s="193">
        <v>2557410.39</v>
      </c>
      <c r="J36" s="193">
        <v>2554137.77</v>
      </c>
      <c r="K36" s="193">
        <v>0</v>
      </c>
      <c r="L36" s="193">
        <v>24277.49</v>
      </c>
    </row>
    <row r="37" spans="1:12" x14ac:dyDescent="0.25">
      <c r="A37" s="191" t="s">
        <v>917</v>
      </c>
      <c r="B37" s="192" t="s">
        <v>918</v>
      </c>
      <c r="C37" s="193">
        <v>0</v>
      </c>
      <c r="D37" s="193">
        <v>2866.89</v>
      </c>
      <c r="E37" s="193">
        <v>0</v>
      </c>
      <c r="F37" s="193">
        <v>-2748</v>
      </c>
      <c r="G37" s="193">
        <v>916</v>
      </c>
      <c r="H37" s="193">
        <v>8220.7199999999993</v>
      </c>
      <c r="I37" s="193">
        <v>16636.189999999999</v>
      </c>
      <c r="J37" s="193">
        <v>18326.02</v>
      </c>
      <c r="K37" s="193">
        <v>0</v>
      </c>
      <c r="L37" s="193">
        <v>4556.72</v>
      </c>
    </row>
    <row r="38" spans="1:12" x14ac:dyDescent="0.25">
      <c r="A38" s="191" t="s">
        <v>919</v>
      </c>
      <c r="B38" s="192" t="s">
        <v>663</v>
      </c>
      <c r="C38" s="193">
        <v>0</v>
      </c>
      <c r="D38" s="193">
        <v>0</v>
      </c>
      <c r="E38" s="193">
        <v>0</v>
      </c>
      <c r="F38" s="193">
        <v>0</v>
      </c>
      <c r="G38" s="193">
        <v>1292.82</v>
      </c>
      <c r="H38" s="193">
        <v>1292.82</v>
      </c>
      <c r="I38" s="193">
        <v>5171.34</v>
      </c>
      <c r="J38" s="193">
        <v>5171.34</v>
      </c>
      <c r="K38" s="193">
        <v>0</v>
      </c>
      <c r="L38" s="193">
        <v>0</v>
      </c>
    </row>
    <row r="39" spans="1:12" x14ac:dyDescent="0.25">
      <c r="A39" s="191" t="s">
        <v>920</v>
      </c>
      <c r="B39" s="192" t="s">
        <v>921</v>
      </c>
      <c r="C39" s="193">
        <v>0</v>
      </c>
      <c r="D39" s="193">
        <v>7743.09</v>
      </c>
      <c r="E39" s="193">
        <v>0</v>
      </c>
      <c r="F39" s="193">
        <v>29339.19</v>
      </c>
      <c r="G39" s="193">
        <v>0</v>
      </c>
      <c r="H39" s="193">
        <v>0</v>
      </c>
      <c r="I39" s="193">
        <v>10765.9</v>
      </c>
      <c r="J39" s="193">
        <v>32362</v>
      </c>
      <c r="K39" s="193">
        <v>0</v>
      </c>
      <c r="L39" s="193">
        <v>29339.19</v>
      </c>
    </row>
    <row r="40" spans="1:12" x14ac:dyDescent="0.25">
      <c r="A40" s="191" t="s">
        <v>922</v>
      </c>
      <c r="B40" s="192" t="s">
        <v>923</v>
      </c>
      <c r="C40" s="193">
        <v>0</v>
      </c>
      <c r="D40" s="193">
        <v>2090.17</v>
      </c>
      <c r="E40" s="193">
        <v>0</v>
      </c>
      <c r="F40" s="193">
        <v>0</v>
      </c>
      <c r="G40" s="193">
        <v>1532.7</v>
      </c>
      <c r="H40" s="193">
        <v>2621.4</v>
      </c>
      <c r="I40" s="193">
        <v>39224.620000000003</v>
      </c>
      <c r="J40" s="193">
        <v>38223.15</v>
      </c>
      <c r="K40" s="193">
        <v>0</v>
      </c>
      <c r="L40" s="193">
        <v>1088.7</v>
      </c>
    </row>
    <row r="41" spans="1:12" x14ac:dyDescent="0.25">
      <c r="A41" s="191" t="s">
        <v>924</v>
      </c>
      <c r="B41" s="192" t="s">
        <v>128</v>
      </c>
      <c r="C41" s="193">
        <v>35694.83</v>
      </c>
      <c r="D41" s="193">
        <v>0</v>
      </c>
      <c r="E41" s="193">
        <v>8616.3799999999992</v>
      </c>
      <c r="F41" s="193">
        <v>0</v>
      </c>
      <c r="G41" s="193">
        <v>56692.95</v>
      </c>
      <c r="H41" s="193">
        <v>8162.8</v>
      </c>
      <c r="I41" s="193">
        <v>32290.720000000001</v>
      </c>
      <c r="J41" s="193">
        <v>10839.02</v>
      </c>
      <c r="K41" s="193">
        <v>57146.53</v>
      </c>
      <c r="L41" s="193">
        <v>0</v>
      </c>
    </row>
    <row r="42" spans="1:12" x14ac:dyDescent="0.25">
      <c r="A42" s="191" t="s">
        <v>925</v>
      </c>
      <c r="B42" s="192" t="s">
        <v>670</v>
      </c>
      <c r="C42" s="193">
        <v>0</v>
      </c>
      <c r="D42" s="193">
        <v>857.08</v>
      </c>
      <c r="E42" s="193">
        <v>0</v>
      </c>
      <c r="F42" s="193">
        <v>297.12</v>
      </c>
      <c r="G42" s="193">
        <v>197.12</v>
      </c>
      <c r="H42" s="193">
        <v>0</v>
      </c>
      <c r="I42" s="193">
        <v>1694.93</v>
      </c>
      <c r="J42" s="193">
        <v>937.85</v>
      </c>
      <c r="K42" s="193">
        <v>0</v>
      </c>
      <c r="L42" s="193">
        <v>100</v>
      </c>
    </row>
    <row r="43" spans="1:12" x14ac:dyDescent="0.25">
      <c r="A43" s="191" t="s">
        <v>926</v>
      </c>
      <c r="B43" s="192" t="s">
        <v>674</v>
      </c>
      <c r="C43" s="193">
        <v>4955.54</v>
      </c>
      <c r="D43" s="193">
        <v>0</v>
      </c>
      <c r="E43" s="193">
        <v>3507.95</v>
      </c>
      <c r="F43" s="193">
        <v>0</v>
      </c>
      <c r="G43" s="193">
        <v>1422.27</v>
      </c>
      <c r="H43" s="193">
        <v>0</v>
      </c>
      <c r="I43" s="193">
        <v>4930.22</v>
      </c>
      <c r="J43" s="193">
        <v>4955.54</v>
      </c>
      <c r="K43" s="193">
        <v>4930.22</v>
      </c>
      <c r="L43" s="193">
        <v>0</v>
      </c>
    </row>
    <row r="44" spans="1:12" x14ac:dyDescent="0.25">
      <c r="A44" s="191" t="s">
        <v>927</v>
      </c>
      <c r="B44" s="192" t="s">
        <v>678</v>
      </c>
      <c r="C44" s="193">
        <v>0</v>
      </c>
      <c r="D44" s="193">
        <v>3551.75</v>
      </c>
      <c r="E44" s="193">
        <v>0</v>
      </c>
      <c r="F44" s="193">
        <v>3551.75</v>
      </c>
      <c r="G44" s="193">
        <v>0</v>
      </c>
      <c r="H44" s="193">
        <v>0</v>
      </c>
      <c r="I44" s="193">
        <v>0</v>
      </c>
      <c r="J44" s="193">
        <v>0</v>
      </c>
      <c r="K44" s="193">
        <v>0</v>
      </c>
      <c r="L44" s="193">
        <v>3551.75</v>
      </c>
    </row>
    <row r="45" spans="1:12" x14ac:dyDescent="0.25">
      <c r="A45" s="191" t="s">
        <v>928</v>
      </c>
      <c r="B45" s="192" t="s">
        <v>680</v>
      </c>
      <c r="C45" s="193">
        <v>0</v>
      </c>
      <c r="D45" s="193">
        <v>82757.929999999993</v>
      </c>
      <c r="E45" s="193">
        <v>0</v>
      </c>
      <c r="F45" s="193">
        <v>77542.320000000007</v>
      </c>
      <c r="G45" s="193">
        <v>0</v>
      </c>
      <c r="H45" s="193">
        <v>0</v>
      </c>
      <c r="I45" s="193">
        <v>11545.31</v>
      </c>
      <c r="J45" s="193">
        <v>6329.7</v>
      </c>
      <c r="K45" s="193">
        <v>0</v>
      </c>
      <c r="L45" s="193">
        <v>77542.320000000007</v>
      </c>
    </row>
    <row r="46" spans="1:12" x14ac:dyDescent="0.25">
      <c r="A46" s="191" t="s">
        <v>929</v>
      </c>
      <c r="B46" s="192" t="s">
        <v>930</v>
      </c>
      <c r="C46" s="193">
        <v>0</v>
      </c>
      <c r="D46" s="193">
        <v>0</v>
      </c>
      <c r="E46" s="193">
        <v>20011.150000000001</v>
      </c>
      <c r="F46" s="193">
        <v>0</v>
      </c>
      <c r="G46" s="193">
        <v>19673.8</v>
      </c>
      <c r="H46" s="193">
        <v>39684.949999999997</v>
      </c>
      <c r="I46" s="193">
        <v>403457.72</v>
      </c>
      <c r="J46" s="193">
        <v>403457.72</v>
      </c>
      <c r="K46" s="193">
        <v>0</v>
      </c>
      <c r="L46" s="193">
        <v>0</v>
      </c>
    </row>
    <row r="47" spans="1:12" x14ac:dyDescent="0.25">
      <c r="A47" s="191" t="s">
        <v>931</v>
      </c>
      <c r="B47" s="192" t="s">
        <v>393</v>
      </c>
      <c r="C47" s="193">
        <v>0</v>
      </c>
      <c r="D47" s="193">
        <v>102902</v>
      </c>
      <c r="E47" s="193">
        <v>0</v>
      </c>
      <c r="F47" s="193">
        <v>102902</v>
      </c>
      <c r="G47" s="193">
        <v>0</v>
      </c>
      <c r="H47" s="193">
        <v>0</v>
      </c>
      <c r="I47" s="193">
        <v>0</v>
      </c>
      <c r="J47" s="193">
        <v>0</v>
      </c>
      <c r="K47" s="193">
        <v>0</v>
      </c>
      <c r="L47" s="193">
        <v>102902</v>
      </c>
    </row>
    <row r="48" spans="1:12" x14ac:dyDescent="0.25">
      <c r="A48" s="191" t="s">
        <v>932</v>
      </c>
      <c r="B48" s="192" t="s">
        <v>399</v>
      </c>
      <c r="C48" s="193">
        <v>0</v>
      </c>
      <c r="D48" s="193">
        <v>15524.4</v>
      </c>
      <c r="E48" s="193">
        <v>0</v>
      </c>
      <c r="F48" s="193">
        <v>15524.4</v>
      </c>
      <c r="G48" s="193">
        <v>0</v>
      </c>
      <c r="H48" s="193">
        <v>0</v>
      </c>
      <c r="I48" s="193">
        <v>0</v>
      </c>
      <c r="J48" s="193">
        <v>0</v>
      </c>
      <c r="K48" s="193">
        <v>0</v>
      </c>
      <c r="L48" s="193">
        <v>15524.4</v>
      </c>
    </row>
    <row r="49" spans="1:12" x14ac:dyDescent="0.25">
      <c r="A49" s="191" t="s">
        <v>933</v>
      </c>
      <c r="B49" s="192" t="s">
        <v>402</v>
      </c>
      <c r="C49" s="193">
        <v>0</v>
      </c>
      <c r="D49" s="193">
        <v>691835.23</v>
      </c>
      <c r="E49" s="193">
        <v>0</v>
      </c>
      <c r="F49" s="193">
        <v>787255.31</v>
      </c>
      <c r="G49" s="193">
        <v>0</v>
      </c>
      <c r="H49" s="193">
        <v>0</v>
      </c>
      <c r="I49" s="193">
        <v>0</v>
      </c>
      <c r="J49" s="193">
        <v>95420.08</v>
      </c>
      <c r="K49" s="193">
        <v>0</v>
      </c>
      <c r="L49" s="193">
        <v>787255.31</v>
      </c>
    </row>
    <row r="50" spans="1:12" x14ac:dyDescent="0.25">
      <c r="A50" s="191" t="s">
        <v>934</v>
      </c>
      <c r="B50" s="192" t="s">
        <v>935</v>
      </c>
      <c r="C50" s="193">
        <v>0</v>
      </c>
      <c r="D50" s="193">
        <v>95420.08</v>
      </c>
      <c r="E50" s="193">
        <v>0</v>
      </c>
      <c r="F50" s="193">
        <v>0</v>
      </c>
      <c r="G50" s="193">
        <v>0</v>
      </c>
      <c r="H50" s="193">
        <v>0</v>
      </c>
      <c r="I50" s="193">
        <v>95420.08</v>
      </c>
      <c r="J50" s="193">
        <v>0</v>
      </c>
      <c r="K50" s="193">
        <v>0</v>
      </c>
      <c r="L50" s="193">
        <v>0</v>
      </c>
    </row>
    <row r="51" spans="1:12" x14ac:dyDescent="0.25">
      <c r="A51" s="191" t="s">
        <v>936</v>
      </c>
      <c r="B51" s="192" t="s">
        <v>691</v>
      </c>
      <c r="C51" s="193">
        <v>0</v>
      </c>
      <c r="D51" s="193">
        <v>682311.12</v>
      </c>
      <c r="E51" s="193">
        <v>0</v>
      </c>
      <c r="F51" s="193">
        <v>583833.93999999994</v>
      </c>
      <c r="G51" s="193">
        <v>84563.94</v>
      </c>
      <c r="H51" s="193">
        <v>66520.56</v>
      </c>
      <c r="I51" s="193">
        <v>183041.12</v>
      </c>
      <c r="J51" s="193">
        <v>66520.56</v>
      </c>
      <c r="K51" s="193">
        <v>0</v>
      </c>
      <c r="L51" s="193">
        <v>565790.56000000006</v>
      </c>
    </row>
    <row r="52" spans="1:12" x14ac:dyDescent="0.25">
      <c r="A52" s="191" t="s">
        <v>937</v>
      </c>
      <c r="B52" s="192" t="s">
        <v>938</v>
      </c>
      <c r="C52" s="193">
        <v>0</v>
      </c>
      <c r="D52" s="193">
        <v>4587.95</v>
      </c>
      <c r="E52" s="193">
        <v>0</v>
      </c>
      <c r="F52" s="193">
        <v>5235.38</v>
      </c>
      <c r="G52" s="193">
        <v>41.24</v>
      </c>
      <c r="H52" s="193">
        <v>157.07</v>
      </c>
      <c r="I52" s="193">
        <v>1316.09</v>
      </c>
      <c r="J52" s="193">
        <v>2079.35</v>
      </c>
      <c r="K52" s="193">
        <v>0</v>
      </c>
      <c r="L52" s="193">
        <v>5351.21</v>
      </c>
    </row>
    <row r="53" spans="1:12" x14ac:dyDescent="0.25">
      <c r="A53" s="191" t="s">
        <v>939</v>
      </c>
      <c r="B53" s="192" t="s">
        <v>940</v>
      </c>
      <c r="C53" s="193">
        <v>0</v>
      </c>
      <c r="D53" s="193">
        <v>125061.57</v>
      </c>
      <c r="E53" s="193">
        <v>0</v>
      </c>
      <c r="F53" s="193">
        <v>81239.22</v>
      </c>
      <c r="G53" s="193">
        <v>39101.72</v>
      </c>
      <c r="H53" s="193">
        <v>35989.47</v>
      </c>
      <c r="I53" s="193">
        <v>145601.46</v>
      </c>
      <c r="J53" s="193">
        <v>98666.86</v>
      </c>
      <c r="K53" s="193">
        <v>0</v>
      </c>
      <c r="L53" s="193">
        <v>78126.97</v>
      </c>
    </row>
    <row r="54" spans="1:12" x14ac:dyDescent="0.25">
      <c r="A54" s="191" t="s">
        <v>1471</v>
      </c>
      <c r="B54" s="192" t="s">
        <v>1458</v>
      </c>
      <c r="C54" s="193">
        <v>0</v>
      </c>
      <c r="D54" s="193">
        <v>76555.14</v>
      </c>
      <c r="E54" s="193">
        <v>0</v>
      </c>
      <c r="F54" s="193">
        <v>60055.14</v>
      </c>
      <c r="G54" s="193">
        <v>60055.14</v>
      </c>
      <c r="H54" s="193">
        <v>0</v>
      </c>
      <c r="I54" s="193">
        <v>76555.14</v>
      </c>
      <c r="J54" s="193">
        <v>0</v>
      </c>
      <c r="K54" s="193">
        <v>0</v>
      </c>
      <c r="L54" s="193">
        <v>0</v>
      </c>
    </row>
    <row r="55" spans="1:12" x14ac:dyDescent="0.25">
      <c r="A55" s="191" t="s">
        <v>941</v>
      </c>
      <c r="B55" s="192" t="s">
        <v>942</v>
      </c>
      <c r="C55" s="193">
        <v>0</v>
      </c>
      <c r="D55" s="193">
        <v>16558.96</v>
      </c>
      <c r="E55" s="193">
        <v>0</v>
      </c>
      <c r="F55" s="193">
        <v>16558.96</v>
      </c>
      <c r="G55" s="193">
        <v>0</v>
      </c>
      <c r="H55" s="193">
        <v>7429.65</v>
      </c>
      <c r="I55" s="193">
        <v>0</v>
      </c>
      <c r="J55" s="193">
        <v>7429.65</v>
      </c>
      <c r="K55" s="193">
        <v>0</v>
      </c>
      <c r="L55" s="193">
        <v>23988.61</v>
      </c>
    </row>
    <row r="56" spans="1:12" x14ac:dyDescent="0.25">
      <c r="A56" s="191" t="s">
        <v>943</v>
      </c>
      <c r="B56" s="192" t="s">
        <v>944</v>
      </c>
      <c r="C56" s="193">
        <v>0</v>
      </c>
      <c r="D56" s="193">
        <v>0</v>
      </c>
      <c r="E56" s="193">
        <v>108144.72</v>
      </c>
      <c r="F56" s="193">
        <v>0</v>
      </c>
      <c r="G56" s="193">
        <v>24596.71</v>
      </c>
      <c r="H56" s="193">
        <v>0</v>
      </c>
      <c r="I56" s="193">
        <v>132741.43</v>
      </c>
      <c r="J56" s="193">
        <v>0</v>
      </c>
      <c r="K56" s="193">
        <v>132741.43</v>
      </c>
      <c r="L56" s="193">
        <v>0</v>
      </c>
    </row>
    <row r="57" spans="1:12" x14ac:dyDescent="0.25">
      <c r="A57" s="191" t="s">
        <v>945</v>
      </c>
      <c r="B57" s="192" t="s">
        <v>946</v>
      </c>
      <c r="C57" s="193">
        <v>0</v>
      </c>
      <c r="D57" s="193">
        <v>0</v>
      </c>
      <c r="E57" s="193">
        <v>5828.9</v>
      </c>
      <c r="F57" s="193">
        <v>0</v>
      </c>
      <c r="G57" s="193">
        <v>18782.830000000002</v>
      </c>
      <c r="H57" s="193">
        <v>0</v>
      </c>
      <c r="I57" s="193">
        <v>24746.01</v>
      </c>
      <c r="J57" s="193">
        <v>134.28</v>
      </c>
      <c r="K57" s="193">
        <v>24611.73</v>
      </c>
      <c r="L57" s="193">
        <v>0</v>
      </c>
    </row>
    <row r="58" spans="1:12" x14ac:dyDescent="0.25">
      <c r="A58" s="191" t="s">
        <v>947</v>
      </c>
      <c r="B58" s="192" t="s">
        <v>948</v>
      </c>
      <c r="C58" s="193">
        <v>0</v>
      </c>
      <c r="D58" s="193">
        <v>0</v>
      </c>
      <c r="E58" s="193">
        <v>4211152.6100000003</v>
      </c>
      <c r="F58" s="193">
        <v>0</v>
      </c>
      <c r="G58" s="193">
        <v>146269.25</v>
      </c>
      <c r="H58" s="193">
        <v>55400.13</v>
      </c>
      <c r="I58" s="193">
        <v>4357421.8600000003</v>
      </c>
      <c r="J58" s="193">
        <v>55400.13</v>
      </c>
      <c r="K58" s="193">
        <v>4302021.7300000004</v>
      </c>
      <c r="L58" s="193">
        <v>0</v>
      </c>
    </row>
    <row r="59" spans="1:12" x14ac:dyDescent="0.25">
      <c r="A59" s="191" t="s">
        <v>949</v>
      </c>
      <c r="B59" s="192" t="s">
        <v>725</v>
      </c>
      <c r="C59" s="193">
        <v>0</v>
      </c>
      <c r="D59" s="193">
        <v>0</v>
      </c>
      <c r="E59" s="193">
        <v>55133.56</v>
      </c>
      <c r="F59" s="193">
        <v>0</v>
      </c>
      <c r="G59" s="193">
        <v>6178.71</v>
      </c>
      <c r="H59" s="193">
        <v>0</v>
      </c>
      <c r="I59" s="193">
        <v>61440.51</v>
      </c>
      <c r="J59" s="193">
        <v>128.24</v>
      </c>
      <c r="K59" s="193">
        <v>61312.27</v>
      </c>
      <c r="L59" s="193">
        <v>0</v>
      </c>
    </row>
    <row r="60" spans="1:12" x14ac:dyDescent="0.25">
      <c r="A60" s="191" t="s">
        <v>950</v>
      </c>
      <c r="B60" s="192" t="s">
        <v>731</v>
      </c>
      <c r="C60" s="193">
        <v>0</v>
      </c>
      <c r="D60" s="193">
        <v>0</v>
      </c>
      <c r="E60" s="193">
        <v>4704.9399999999996</v>
      </c>
      <c r="F60" s="193">
        <v>0</v>
      </c>
      <c r="G60" s="193">
        <v>377.24</v>
      </c>
      <c r="H60" s="193">
        <v>0</v>
      </c>
      <c r="I60" s="193">
        <v>5082.18</v>
      </c>
      <c r="J60" s="193">
        <v>0</v>
      </c>
      <c r="K60" s="193">
        <v>5082.18</v>
      </c>
      <c r="L60" s="193">
        <v>0</v>
      </c>
    </row>
    <row r="61" spans="1:12" x14ac:dyDescent="0.25">
      <c r="A61" s="191" t="s">
        <v>951</v>
      </c>
      <c r="B61" s="192" t="s">
        <v>733</v>
      </c>
      <c r="C61" s="193">
        <v>0</v>
      </c>
      <c r="D61" s="193">
        <v>0</v>
      </c>
      <c r="E61" s="193">
        <v>1264.06</v>
      </c>
      <c r="F61" s="193">
        <v>0</v>
      </c>
      <c r="G61" s="193">
        <v>985.53</v>
      </c>
      <c r="H61" s="193">
        <v>0</v>
      </c>
      <c r="I61" s="193">
        <v>2249.59</v>
      </c>
      <c r="J61" s="193">
        <v>0</v>
      </c>
      <c r="K61" s="193">
        <v>2249.59</v>
      </c>
      <c r="L61" s="193">
        <v>0</v>
      </c>
    </row>
    <row r="62" spans="1:12" x14ac:dyDescent="0.25">
      <c r="A62" s="191" t="s">
        <v>952</v>
      </c>
      <c r="B62" s="192" t="s">
        <v>735</v>
      </c>
      <c r="C62" s="193">
        <v>0</v>
      </c>
      <c r="D62" s="193">
        <v>0</v>
      </c>
      <c r="E62" s="193">
        <v>253957.91</v>
      </c>
      <c r="F62" s="193">
        <v>0</v>
      </c>
      <c r="G62" s="193">
        <v>30789.3</v>
      </c>
      <c r="H62" s="193">
        <v>0</v>
      </c>
      <c r="I62" s="193">
        <v>284846.78999999998</v>
      </c>
      <c r="J62" s="193">
        <v>99.58</v>
      </c>
      <c r="K62" s="193">
        <v>284747.21000000002</v>
      </c>
      <c r="L62" s="193">
        <v>0</v>
      </c>
    </row>
    <row r="63" spans="1:12" x14ac:dyDescent="0.25">
      <c r="A63" s="191" t="s">
        <v>953</v>
      </c>
      <c r="B63" s="192" t="s">
        <v>767</v>
      </c>
      <c r="C63" s="193">
        <v>0</v>
      </c>
      <c r="D63" s="193">
        <v>0</v>
      </c>
      <c r="E63" s="193">
        <v>339549.11</v>
      </c>
      <c r="F63" s="193">
        <v>0</v>
      </c>
      <c r="G63" s="193">
        <v>46811.23</v>
      </c>
      <c r="H63" s="193">
        <v>0</v>
      </c>
      <c r="I63" s="193">
        <v>401038.37</v>
      </c>
      <c r="J63" s="193">
        <v>14678.03</v>
      </c>
      <c r="K63" s="193">
        <v>386360.34</v>
      </c>
      <c r="L63" s="193">
        <v>0</v>
      </c>
    </row>
    <row r="64" spans="1:12" x14ac:dyDescent="0.25">
      <c r="A64" s="191" t="s">
        <v>954</v>
      </c>
      <c r="B64" s="192" t="s">
        <v>769</v>
      </c>
      <c r="C64" s="193">
        <v>0</v>
      </c>
      <c r="D64" s="193">
        <v>0</v>
      </c>
      <c r="E64" s="193">
        <v>12935.96</v>
      </c>
      <c r="F64" s="193">
        <v>0</v>
      </c>
      <c r="G64" s="193">
        <v>661.25</v>
      </c>
      <c r="H64" s="193">
        <v>0</v>
      </c>
      <c r="I64" s="193">
        <v>13597.21</v>
      </c>
      <c r="J64" s="193">
        <v>0</v>
      </c>
      <c r="K64" s="193">
        <v>13597.21</v>
      </c>
      <c r="L64" s="193">
        <v>0</v>
      </c>
    </row>
    <row r="65" spans="1:12" x14ac:dyDescent="0.25">
      <c r="A65" s="191" t="s">
        <v>955</v>
      </c>
      <c r="B65" s="192" t="s">
        <v>956</v>
      </c>
      <c r="C65" s="193">
        <v>0</v>
      </c>
      <c r="D65" s="193">
        <v>0</v>
      </c>
      <c r="E65" s="193">
        <v>118998.08</v>
      </c>
      <c r="F65" s="193">
        <v>0</v>
      </c>
      <c r="G65" s="193">
        <v>15761.88</v>
      </c>
      <c r="H65" s="193">
        <v>0</v>
      </c>
      <c r="I65" s="193">
        <v>139912.79</v>
      </c>
      <c r="J65" s="193">
        <v>5152.83</v>
      </c>
      <c r="K65" s="193">
        <v>134759.96</v>
      </c>
      <c r="L65" s="193">
        <v>0</v>
      </c>
    </row>
    <row r="66" spans="1:12" x14ac:dyDescent="0.25">
      <c r="A66" s="191" t="s">
        <v>957</v>
      </c>
      <c r="B66" s="192" t="s">
        <v>958</v>
      </c>
      <c r="C66" s="193">
        <v>0</v>
      </c>
      <c r="D66" s="193">
        <v>0</v>
      </c>
      <c r="E66" s="193">
        <v>3683.81</v>
      </c>
      <c r="F66" s="193">
        <v>0</v>
      </c>
      <c r="G66" s="193">
        <v>280.83</v>
      </c>
      <c r="H66" s="193">
        <v>-198.11</v>
      </c>
      <c r="I66" s="193">
        <v>4162.75</v>
      </c>
      <c r="J66" s="193">
        <v>0</v>
      </c>
      <c r="K66" s="193">
        <v>4162.75</v>
      </c>
      <c r="L66" s="193">
        <v>0</v>
      </c>
    </row>
    <row r="67" spans="1:12" x14ac:dyDescent="0.25">
      <c r="A67" s="191" t="s">
        <v>959</v>
      </c>
      <c r="B67" s="192" t="s">
        <v>960</v>
      </c>
      <c r="C67" s="193">
        <v>0</v>
      </c>
      <c r="D67" s="193">
        <v>0</v>
      </c>
      <c r="E67" s="193">
        <v>14198.27</v>
      </c>
      <c r="F67" s="193">
        <v>0</v>
      </c>
      <c r="G67" s="193">
        <v>819.88</v>
      </c>
      <c r="H67" s="193">
        <v>0</v>
      </c>
      <c r="I67" s="193">
        <v>15018.15</v>
      </c>
      <c r="J67" s="193">
        <v>0</v>
      </c>
      <c r="K67" s="193">
        <v>15018.15</v>
      </c>
      <c r="L67" s="193">
        <v>0</v>
      </c>
    </row>
    <row r="68" spans="1:12" x14ac:dyDescent="0.25">
      <c r="A68" s="191" t="s">
        <v>961</v>
      </c>
      <c r="B68" s="192" t="s">
        <v>655</v>
      </c>
      <c r="C68" s="193">
        <v>0</v>
      </c>
      <c r="D68" s="193">
        <v>0</v>
      </c>
      <c r="E68" s="193">
        <v>0</v>
      </c>
      <c r="F68" s="193">
        <v>0</v>
      </c>
      <c r="G68" s="193">
        <v>8220.7199999999993</v>
      </c>
      <c r="H68" s="193">
        <v>0</v>
      </c>
      <c r="I68" s="193">
        <v>8220.7199999999993</v>
      </c>
      <c r="J68" s="193">
        <v>0</v>
      </c>
      <c r="K68" s="193">
        <v>8220.7199999999993</v>
      </c>
      <c r="L68" s="193">
        <v>0</v>
      </c>
    </row>
    <row r="69" spans="1:12" x14ac:dyDescent="0.25">
      <c r="A69" s="191" t="s">
        <v>962</v>
      </c>
      <c r="B69" s="192" t="s">
        <v>963</v>
      </c>
      <c r="C69" s="193">
        <v>0</v>
      </c>
      <c r="D69" s="193">
        <v>0</v>
      </c>
      <c r="E69" s="193">
        <v>9948.15</v>
      </c>
      <c r="F69" s="193">
        <v>0</v>
      </c>
      <c r="G69" s="193">
        <v>0</v>
      </c>
      <c r="H69" s="193">
        <v>0</v>
      </c>
      <c r="I69" s="193">
        <v>9948.15</v>
      </c>
      <c r="J69" s="193">
        <v>0</v>
      </c>
      <c r="K69" s="193">
        <v>9948.15</v>
      </c>
      <c r="L69" s="193">
        <v>0</v>
      </c>
    </row>
    <row r="70" spans="1:12" x14ac:dyDescent="0.25">
      <c r="A70" s="191" t="s">
        <v>964</v>
      </c>
      <c r="B70" s="192" t="s">
        <v>918</v>
      </c>
      <c r="C70" s="193">
        <v>0</v>
      </c>
      <c r="D70" s="193">
        <v>0</v>
      </c>
      <c r="E70" s="193">
        <v>1127.71</v>
      </c>
      <c r="F70" s="193">
        <v>0</v>
      </c>
      <c r="G70" s="193">
        <v>0</v>
      </c>
      <c r="H70" s="193">
        <v>0</v>
      </c>
      <c r="I70" s="193">
        <v>1153.71</v>
      </c>
      <c r="J70" s="193">
        <v>26</v>
      </c>
      <c r="K70" s="193">
        <v>1127.71</v>
      </c>
      <c r="L70" s="193">
        <v>0</v>
      </c>
    </row>
    <row r="71" spans="1:12" x14ac:dyDescent="0.25">
      <c r="A71" s="191" t="s">
        <v>966</v>
      </c>
      <c r="B71" s="192" t="s">
        <v>967</v>
      </c>
      <c r="C71" s="193">
        <v>0</v>
      </c>
      <c r="D71" s="193">
        <v>0</v>
      </c>
      <c r="E71" s="193">
        <v>20.13</v>
      </c>
      <c r="F71" s="193">
        <v>0</v>
      </c>
      <c r="G71" s="193">
        <v>0</v>
      </c>
      <c r="H71" s="193">
        <v>0</v>
      </c>
      <c r="I71" s="193">
        <v>20.13</v>
      </c>
      <c r="J71" s="193">
        <v>0</v>
      </c>
      <c r="K71" s="193">
        <v>20.13</v>
      </c>
      <c r="L71" s="193">
        <v>0</v>
      </c>
    </row>
    <row r="72" spans="1:12" x14ac:dyDescent="0.25">
      <c r="A72" s="191" t="s">
        <v>1472</v>
      </c>
      <c r="B72" s="192" t="s">
        <v>1473</v>
      </c>
      <c r="C72" s="193">
        <v>0</v>
      </c>
      <c r="D72" s="193">
        <v>0</v>
      </c>
      <c r="E72" s="193">
        <v>5502.71</v>
      </c>
      <c r="F72" s="193">
        <v>0</v>
      </c>
      <c r="G72" s="193">
        <v>0</v>
      </c>
      <c r="H72" s="193">
        <v>0</v>
      </c>
      <c r="I72" s="193">
        <v>6329.7</v>
      </c>
      <c r="J72" s="193">
        <v>826.99</v>
      </c>
      <c r="K72" s="193">
        <v>5502.71</v>
      </c>
      <c r="L72" s="193">
        <v>0</v>
      </c>
    </row>
    <row r="73" spans="1:12" x14ac:dyDescent="0.25">
      <c r="A73" s="191" t="s">
        <v>972</v>
      </c>
      <c r="B73" s="192" t="s">
        <v>973</v>
      </c>
      <c r="C73" s="193">
        <v>0</v>
      </c>
      <c r="D73" s="193">
        <v>0</v>
      </c>
      <c r="E73" s="193">
        <v>1946.68</v>
      </c>
      <c r="F73" s="193">
        <v>0</v>
      </c>
      <c r="G73" s="193">
        <v>71.52</v>
      </c>
      <c r="H73" s="193">
        <v>0.02</v>
      </c>
      <c r="I73" s="193">
        <v>2022.71</v>
      </c>
      <c r="J73" s="193">
        <v>4.53</v>
      </c>
      <c r="K73" s="193">
        <v>2018.18</v>
      </c>
      <c r="L73" s="193">
        <v>0</v>
      </c>
    </row>
    <row r="74" spans="1:12" x14ac:dyDescent="0.25">
      <c r="A74" s="191" t="s">
        <v>974</v>
      </c>
      <c r="B74" s="192" t="s">
        <v>812</v>
      </c>
      <c r="C74" s="193">
        <v>0</v>
      </c>
      <c r="D74" s="193">
        <v>0</v>
      </c>
      <c r="E74" s="193">
        <v>176822.1</v>
      </c>
      <c r="F74" s="193">
        <v>0</v>
      </c>
      <c r="G74" s="193">
        <v>14485.46</v>
      </c>
      <c r="H74" s="193">
        <v>9.2899999999999991</v>
      </c>
      <c r="I74" s="193">
        <v>191307.56</v>
      </c>
      <c r="J74" s="193">
        <v>9.2899999999999991</v>
      </c>
      <c r="K74" s="193">
        <v>191298.27</v>
      </c>
      <c r="L74" s="193">
        <v>0</v>
      </c>
    </row>
    <row r="75" spans="1:12" x14ac:dyDescent="0.25">
      <c r="A75" s="191" t="s">
        <v>975</v>
      </c>
      <c r="B75" s="192" t="s">
        <v>814</v>
      </c>
      <c r="C75" s="193">
        <v>0</v>
      </c>
      <c r="D75" s="193">
        <v>0</v>
      </c>
      <c r="E75" s="193">
        <v>41771.4</v>
      </c>
      <c r="F75" s="193">
        <v>0</v>
      </c>
      <c r="G75" s="193">
        <v>5177.92</v>
      </c>
      <c r="H75" s="193">
        <v>0</v>
      </c>
      <c r="I75" s="193">
        <v>46949.32</v>
      </c>
      <c r="J75" s="193">
        <v>0</v>
      </c>
      <c r="K75" s="193">
        <v>46949.32</v>
      </c>
      <c r="L75" s="193">
        <v>0</v>
      </c>
    </row>
    <row r="76" spans="1:12" x14ac:dyDescent="0.25">
      <c r="A76" s="191" t="s">
        <v>976</v>
      </c>
      <c r="B76" s="192" t="s">
        <v>818</v>
      </c>
      <c r="C76" s="193">
        <v>0</v>
      </c>
      <c r="D76" s="193">
        <v>0</v>
      </c>
      <c r="E76" s="193">
        <v>206.05</v>
      </c>
      <c r="F76" s="193">
        <v>0</v>
      </c>
      <c r="G76" s="193">
        <v>115.99</v>
      </c>
      <c r="H76" s="193">
        <v>0</v>
      </c>
      <c r="I76" s="193">
        <v>322.04000000000002</v>
      </c>
      <c r="J76" s="193">
        <v>0</v>
      </c>
      <c r="K76" s="193">
        <v>322.04000000000002</v>
      </c>
      <c r="L76" s="193">
        <v>0</v>
      </c>
    </row>
    <row r="77" spans="1:12" x14ac:dyDescent="0.25">
      <c r="A77" s="191" t="s">
        <v>977</v>
      </c>
      <c r="B77" s="192" t="s">
        <v>978</v>
      </c>
      <c r="C77" s="193">
        <v>0</v>
      </c>
      <c r="D77" s="193">
        <v>0</v>
      </c>
      <c r="E77" s="193">
        <v>25157.3</v>
      </c>
      <c r="F77" s="193">
        <v>0</v>
      </c>
      <c r="G77" s="193">
        <v>863.62</v>
      </c>
      <c r="H77" s="193">
        <v>0</v>
      </c>
      <c r="I77" s="193">
        <v>27005.41</v>
      </c>
      <c r="J77" s="193">
        <v>984.49</v>
      </c>
      <c r="K77" s="193">
        <v>26020.92</v>
      </c>
      <c r="L77" s="193">
        <v>0</v>
      </c>
    </row>
    <row r="78" spans="1:12" x14ac:dyDescent="0.25">
      <c r="A78" s="191" t="s">
        <v>979</v>
      </c>
      <c r="B78" s="192" t="s">
        <v>980</v>
      </c>
      <c r="C78" s="193">
        <v>0</v>
      </c>
      <c r="D78" s="193">
        <v>0</v>
      </c>
      <c r="E78" s="193">
        <v>0.11</v>
      </c>
      <c r="F78" s="193">
        <v>0</v>
      </c>
      <c r="G78" s="193">
        <v>13398.34</v>
      </c>
      <c r="H78" s="193">
        <v>0</v>
      </c>
      <c r="I78" s="193">
        <v>13398.45</v>
      </c>
      <c r="J78" s="193">
        <v>0</v>
      </c>
      <c r="K78" s="193">
        <v>13398.45</v>
      </c>
      <c r="L78" s="193">
        <v>0</v>
      </c>
    </row>
    <row r="79" spans="1:12" x14ac:dyDescent="0.25">
      <c r="A79" s="191" t="s">
        <v>1474</v>
      </c>
      <c r="B79" s="192" t="s">
        <v>1475</v>
      </c>
      <c r="C79" s="193">
        <v>0</v>
      </c>
      <c r="D79" s="193">
        <v>0</v>
      </c>
      <c r="E79" s="193">
        <v>0</v>
      </c>
      <c r="F79" s="193">
        <v>0</v>
      </c>
      <c r="G79" s="193">
        <v>7429.65</v>
      </c>
      <c r="H79" s="193">
        <v>0</v>
      </c>
      <c r="I79" s="193">
        <v>7429.65</v>
      </c>
      <c r="J79" s="193">
        <v>0</v>
      </c>
      <c r="K79" s="193">
        <v>7429.65</v>
      </c>
      <c r="L79" s="193">
        <v>0</v>
      </c>
    </row>
    <row r="80" spans="1:12" x14ac:dyDescent="0.25">
      <c r="A80" s="191" t="s">
        <v>981</v>
      </c>
      <c r="B80" s="192" t="s">
        <v>982</v>
      </c>
      <c r="C80" s="193">
        <v>0</v>
      </c>
      <c r="D80" s="193">
        <v>0</v>
      </c>
      <c r="E80" s="193">
        <v>0</v>
      </c>
      <c r="F80" s="193">
        <v>129124.36</v>
      </c>
      <c r="G80" s="193">
        <v>0</v>
      </c>
      <c r="H80" s="193">
        <v>11963.59</v>
      </c>
      <c r="I80" s="193">
        <v>0</v>
      </c>
      <c r="J80" s="193">
        <v>141087.95000000001</v>
      </c>
      <c r="K80" s="193">
        <v>0</v>
      </c>
      <c r="L80" s="193">
        <v>141087.95000000001</v>
      </c>
    </row>
    <row r="81" spans="1:12" x14ac:dyDescent="0.25">
      <c r="A81" s="191" t="s">
        <v>983</v>
      </c>
      <c r="B81" s="192" t="s">
        <v>984</v>
      </c>
      <c r="C81" s="193">
        <v>0</v>
      </c>
      <c r="D81" s="193">
        <v>0</v>
      </c>
      <c r="E81" s="193">
        <v>0</v>
      </c>
      <c r="F81" s="193">
        <v>5335983.18</v>
      </c>
      <c r="G81" s="193">
        <v>0</v>
      </c>
      <c r="H81" s="193">
        <v>241177.1</v>
      </c>
      <c r="I81" s="193">
        <v>0</v>
      </c>
      <c r="J81" s="193">
        <v>5577160.2800000003</v>
      </c>
      <c r="K81" s="193">
        <v>0</v>
      </c>
      <c r="L81" s="193">
        <v>5577160.2800000003</v>
      </c>
    </row>
    <row r="82" spans="1:12" x14ac:dyDescent="0.25">
      <c r="A82" s="191" t="s">
        <v>987</v>
      </c>
      <c r="B82" s="192" t="s">
        <v>862</v>
      </c>
      <c r="C82" s="193">
        <v>0</v>
      </c>
      <c r="D82" s="193">
        <v>0</v>
      </c>
      <c r="E82" s="193">
        <v>0</v>
      </c>
      <c r="F82" s="193">
        <v>8075.14</v>
      </c>
      <c r="G82" s="193">
        <v>0</v>
      </c>
      <c r="H82" s="193">
        <v>6.9</v>
      </c>
      <c r="I82" s="193">
        <v>0</v>
      </c>
      <c r="J82" s="193">
        <v>8082.04</v>
      </c>
      <c r="K82" s="193">
        <v>0</v>
      </c>
      <c r="L82" s="193">
        <v>8082.04</v>
      </c>
    </row>
    <row r="83" spans="1:12" x14ac:dyDescent="0.25">
      <c r="A83" s="191" t="s">
        <v>988</v>
      </c>
      <c r="B83" s="192" t="s">
        <v>864</v>
      </c>
      <c r="C83" s="193">
        <v>0</v>
      </c>
      <c r="D83" s="193">
        <v>0</v>
      </c>
      <c r="E83" s="193">
        <v>0</v>
      </c>
      <c r="F83" s="193">
        <v>2300.27</v>
      </c>
      <c r="G83" s="193">
        <v>0</v>
      </c>
      <c r="H83" s="193">
        <v>0</v>
      </c>
      <c r="I83" s="193">
        <v>0</v>
      </c>
      <c r="J83" s="193">
        <v>2300.27</v>
      </c>
      <c r="K83" s="193">
        <v>0</v>
      </c>
      <c r="L83" s="193">
        <v>2300.27</v>
      </c>
    </row>
    <row r="84" spans="1:12" x14ac:dyDescent="0.25">
      <c r="A84" s="191" t="s">
        <v>989</v>
      </c>
      <c r="B84" s="192" t="s">
        <v>990</v>
      </c>
      <c r="C84" s="193">
        <v>0</v>
      </c>
      <c r="D84" s="193">
        <v>0</v>
      </c>
      <c r="E84" s="193">
        <v>0</v>
      </c>
      <c r="F84" s="193">
        <v>5296.74</v>
      </c>
      <c r="G84" s="193">
        <v>0.08</v>
      </c>
      <c r="H84" s="193">
        <v>9440.2099999999991</v>
      </c>
      <c r="I84" s="193">
        <v>4.05</v>
      </c>
      <c r="J84" s="193">
        <v>14740.92</v>
      </c>
      <c r="K84" s="193">
        <v>0</v>
      </c>
      <c r="L84" s="193">
        <v>14736.87</v>
      </c>
    </row>
    <row r="85" spans="1:12" x14ac:dyDescent="0.25">
      <c r="A85" s="191" t="s">
        <v>991</v>
      </c>
      <c r="B85" s="192" t="s">
        <v>814</v>
      </c>
      <c r="C85" s="193">
        <v>0</v>
      </c>
      <c r="D85" s="193">
        <v>0</v>
      </c>
      <c r="E85" s="193">
        <v>0</v>
      </c>
      <c r="F85" s="193">
        <v>0.69</v>
      </c>
      <c r="G85" s="193">
        <v>0</v>
      </c>
      <c r="H85" s="193">
        <v>0</v>
      </c>
      <c r="I85" s="193">
        <v>0</v>
      </c>
      <c r="J85" s="193">
        <v>0.69</v>
      </c>
      <c r="K85" s="193">
        <v>0</v>
      </c>
      <c r="L85" s="193">
        <v>0.69</v>
      </c>
    </row>
    <row r="86" spans="1:12" x14ac:dyDescent="0.25">
      <c r="A86" s="191" t="s">
        <v>992</v>
      </c>
      <c r="B86" s="192" t="s">
        <v>870</v>
      </c>
      <c r="C86" s="193">
        <v>0</v>
      </c>
      <c r="D86" s="193">
        <v>0</v>
      </c>
      <c r="E86" s="193">
        <v>0</v>
      </c>
      <c r="F86" s="193">
        <v>75.62</v>
      </c>
      <c r="G86" s="193">
        <v>0</v>
      </c>
      <c r="H86" s="193">
        <v>0</v>
      </c>
      <c r="I86" s="193">
        <v>0</v>
      </c>
      <c r="J86" s="193">
        <v>75.62</v>
      </c>
      <c r="K86" s="193">
        <v>0</v>
      </c>
      <c r="L86" s="193">
        <v>75.62</v>
      </c>
    </row>
    <row r="87" spans="1:12" x14ac:dyDescent="0.25">
      <c r="A87" s="191" t="s">
        <v>993</v>
      </c>
      <c r="B87" s="192" t="s">
        <v>872</v>
      </c>
      <c r="C87" s="193">
        <v>0</v>
      </c>
      <c r="D87" s="193">
        <v>0</v>
      </c>
      <c r="E87" s="193">
        <v>0</v>
      </c>
      <c r="F87" s="193">
        <v>5.72</v>
      </c>
      <c r="G87" s="193">
        <v>0</v>
      </c>
      <c r="H87" s="193">
        <v>0.13</v>
      </c>
      <c r="I87" s="193">
        <v>0</v>
      </c>
      <c r="J87" s="193">
        <v>5.85</v>
      </c>
      <c r="K87" s="193">
        <v>0</v>
      </c>
      <c r="L87" s="193">
        <v>5.85</v>
      </c>
    </row>
    <row r="88" spans="1:12" x14ac:dyDescent="0.25">
      <c r="A88" s="191" t="s">
        <v>994</v>
      </c>
      <c r="B88" s="192" t="s">
        <v>874</v>
      </c>
      <c r="C88" s="193">
        <v>0</v>
      </c>
      <c r="D88" s="193">
        <v>0</v>
      </c>
      <c r="E88" s="193">
        <v>0</v>
      </c>
      <c r="F88" s="193">
        <v>46984.84</v>
      </c>
      <c r="G88" s="193">
        <v>0</v>
      </c>
      <c r="H88" s="193">
        <v>-46984.84</v>
      </c>
      <c r="I88" s="193">
        <v>0</v>
      </c>
      <c r="J88" s="193">
        <v>0</v>
      </c>
      <c r="K88" s="193">
        <v>0</v>
      </c>
      <c r="L88" s="193">
        <v>0</v>
      </c>
    </row>
    <row r="89" spans="1:12" x14ac:dyDescent="0.25">
      <c r="A89" s="191"/>
      <c r="B89" s="192"/>
      <c r="C89" s="193"/>
      <c r="D89" s="193"/>
      <c r="E89" s="193"/>
      <c r="F89" s="193"/>
      <c r="G89" s="193"/>
      <c r="H89" s="193"/>
      <c r="I89" s="193"/>
      <c r="J89" s="193"/>
      <c r="K89" s="193"/>
      <c r="L89" s="193"/>
    </row>
    <row r="90" spans="1:12" x14ac:dyDescent="0.25">
      <c r="A90" s="191"/>
      <c r="B90" s="192"/>
      <c r="C90" s="193"/>
      <c r="D90" s="193"/>
      <c r="E90" s="193"/>
      <c r="F90" s="193"/>
      <c r="G90" s="193"/>
      <c r="H90" s="193"/>
      <c r="I90" s="193"/>
      <c r="J90" s="193"/>
      <c r="K90" s="193"/>
      <c r="L90" s="193"/>
    </row>
    <row r="91" spans="1:12" x14ac:dyDescent="0.25">
      <c r="A91" s="191"/>
      <c r="B91" s="192"/>
      <c r="C91" s="193"/>
      <c r="D91" s="193"/>
      <c r="E91" s="193"/>
      <c r="F91" s="193"/>
      <c r="G91" s="193"/>
      <c r="H91" s="193"/>
      <c r="I91" s="193"/>
      <c r="J91" s="193"/>
      <c r="K91" s="193"/>
      <c r="L91" s="193"/>
    </row>
    <row r="92" spans="1:12" x14ac:dyDescent="0.25">
      <c r="A92" s="191"/>
      <c r="B92" s="192"/>
      <c r="C92" s="193"/>
      <c r="D92" s="193"/>
      <c r="E92" s="193"/>
      <c r="F92" s="193"/>
      <c r="G92" s="193"/>
      <c r="H92" s="193"/>
      <c r="I92" s="193"/>
      <c r="J92" s="193"/>
      <c r="K92" s="193"/>
      <c r="L92" s="193"/>
    </row>
    <row r="93" spans="1:12" x14ac:dyDescent="0.25">
      <c r="A93" s="191"/>
      <c r="B93" s="192"/>
      <c r="C93" s="193"/>
      <c r="D93" s="193"/>
      <c r="E93" s="193"/>
      <c r="F93" s="193"/>
      <c r="G93" s="193"/>
      <c r="H93" s="193"/>
      <c r="I93" s="193"/>
      <c r="J93" s="193"/>
      <c r="K93" s="193"/>
      <c r="L93" s="193"/>
    </row>
    <row r="94" spans="1:12" x14ac:dyDescent="0.25">
      <c r="A94" s="191"/>
      <c r="B94" s="192"/>
      <c r="C94" s="193"/>
      <c r="D94" s="193"/>
      <c r="E94" s="193"/>
      <c r="F94" s="193"/>
      <c r="G94" s="193"/>
      <c r="H94" s="193"/>
      <c r="I94" s="193"/>
      <c r="J94" s="193"/>
      <c r="K94" s="193"/>
      <c r="L94" s="193"/>
    </row>
    <row r="95" spans="1:12" x14ac:dyDescent="0.25">
      <c r="A95" s="191"/>
      <c r="B95" s="192"/>
      <c r="C95" s="193"/>
      <c r="D95" s="193"/>
      <c r="E95" s="193"/>
      <c r="F95" s="193"/>
      <c r="G95" s="193"/>
      <c r="H95" s="193"/>
      <c r="I95" s="193"/>
      <c r="J95" s="193"/>
      <c r="K95" s="193"/>
      <c r="L95" s="193"/>
    </row>
    <row r="96" spans="1:12" x14ac:dyDescent="0.25">
      <c r="A96" s="191"/>
      <c r="B96" s="192"/>
      <c r="C96" s="193"/>
      <c r="D96" s="193"/>
      <c r="E96" s="193"/>
      <c r="F96" s="193"/>
      <c r="G96" s="193"/>
      <c r="H96" s="193"/>
      <c r="I96" s="193"/>
      <c r="J96" s="193"/>
      <c r="K96" s="193"/>
      <c r="L96" s="193"/>
    </row>
    <row r="97" spans="1:12" x14ac:dyDescent="0.25">
      <c r="A97" s="191"/>
      <c r="B97" s="192"/>
      <c r="C97" s="193"/>
      <c r="D97" s="193"/>
      <c r="E97" s="193"/>
      <c r="F97" s="193"/>
      <c r="G97" s="193"/>
      <c r="H97" s="193"/>
      <c r="I97" s="193"/>
      <c r="J97" s="193"/>
      <c r="K97" s="193"/>
      <c r="L97" s="193"/>
    </row>
    <row r="98" spans="1:12" x14ac:dyDescent="0.25">
      <c r="A98" s="191"/>
      <c r="B98" s="192"/>
      <c r="C98" s="193"/>
      <c r="D98" s="193"/>
      <c r="E98" s="193"/>
      <c r="F98" s="193"/>
      <c r="G98" s="193"/>
      <c r="H98" s="193"/>
      <c r="I98" s="193"/>
      <c r="J98" s="193"/>
      <c r="K98" s="193"/>
      <c r="L98" s="193"/>
    </row>
    <row r="99" spans="1:12" x14ac:dyDescent="0.25">
      <c r="A99" s="191"/>
      <c r="B99" s="192"/>
      <c r="C99" s="193"/>
      <c r="D99" s="193"/>
      <c r="E99" s="193"/>
      <c r="F99" s="193"/>
      <c r="G99" s="193"/>
      <c r="H99" s="193"/>
      <c r="I99" s="193"/>
      <c r="J99" s="193"/>
      <c r="K99" s="193"/>
      <c r="L99" s="193"/>
    </row>
    <row r="100" spans="1:12" x14ac:dyDescent="0.25">
      <c r="A100" s="191"/>
      <c r="B100" s="192"/>
      <c r="C100" s="193"/>
      <c r="D100" s="193"/>
      <c r="E100" s="193"/>
      <c r="F100" s="193"/>
      <c r="G100" s="193"/>
      <c r="H100" s="193"/>
      <c r="I100" s="193"/>
      <c r="J100" s="193"/>
      <c r="K100" s="193"/>
      <c r="L100" s="193"/>
    </row>
    <row r="101" spans="1:12" x14ac:dyDescent="0.25">
      <c r="A101" s="191"/>
      <c r="B101" s="192"/>
      <c r="C101" s="193"/>
      <c r="D101" s="193"/>
      <c r="E101" s="193"/>
      <c r="F101" s="193"/>
      <c r="G101" s="193"/>
      <c r="H101" s="193"/>
      <c r="I101" s="193"/>
      <c r="J101" s="193"/>
      <c r="K101" s="193"/>
      <c r="L101" s="193"/>
    </row>
    <row r="102" spans="1:12" x14ac:dyDescent="0.25">
      <c r="A102" s="191"/>
      <c r="B102" s="192"/>
      <c r="C102" s="193"/>
      <c r="D102" s="193"/>
      <c r="E102" s="193"/>
      <c r="F102" s="193"/>
      <c r="G102" s="193"/>
      <c r="H102" s="193"/>
      <c r="I102" s="193"/>
      <c r="J102" s="193"/>
      <c r="K102" s="193"/>
      <c r="L102" s="193"/>
    </row>
    <row r="103" spans="1:12" x14ac:dyDescent="0.25">
      <c r="A103" s="191"/>
      <c r="B103" s="192"/>
      <c r="C103" s="193"/>
      <c r="D103" s="193"/>
      <c r="E103" s="193"/>
      <c r="F103" s="193"/>
      <c r="G103" s="193"/>
      <c r="H103" s="193"/>
      <c r="I103" s="193"/>
      <c r="J103" s="193"/>
      <c r="K103" s="193"/>
      <c r="L103" s="193"/>
    </row>
    <row r="104" spans="1:12" x14ac:dyDescent="0.25">
      <c r="A104" s="191"/>
      <c r="B104" s="192"/>
      <c r="C104" s="193"/>
      <c r="D104" s="193"/>
      <c r="E104" s="193"/>
      <c r="F104" s="193"/>
      <c r="G104" s="193"/>
      <c r="H104" s="193"/>
      <c r="I104" s="193"/>
      <c r="J104" s="193"/>
      <c r="K104" s="193"/>
      <c r="L104" s="193"/>
    </row>
    <row r="105" spans="1:12" x14ac:dyDescent="0.25">
      <c r="A105" s="191"/>
      <c r="B105" s="192"/>
      <c r="C105" s="193"/>
      <c r="D105" s="193"/>
      <c r="E105" s="193"/>
      <c r="F105" s="193"/>
      <c r="G105" s="193"/>
      <c r="H105" s="193"/>
      <c r="I105" s="193"/>
      <c r="J105" s="193"/>
      <c r="K105" s="193"/>
      <c r="L105" s="193"/>
    </row>
    <row r="106" spans="1:12" x14ac:dyDescent="0.25">
      <c r="A106" s="191"/>
      <c r="B106" s="192"/>
      <c r="C106" s="193"/>
      <c r="D106" s="193"/>
      <c r="E106" s="193"/>
      <c r="F106" s="193"/>
      <c r="G106" s="193"/>
      <c r="H106" s="193"/>
      <c r="I106" s="193"/>
      <c r="J106" s="193"/>
      <c r="K106" s="193"/>
      <c r="L106" s="193"/>
    </row>
    <row r="107" spans="1:12" x14ac:dyDescent="0.25">
      <c r="A107" s="191"/>
      <c r="B107" s="192"/>
      <c r="C107" s="193"/>
      <c r="D107" s="193"/>
      <c r="E107" s="193"/>
      <c r="F107" s="193"/>
      <c r="G107" s="193"/>
      <c r="H107" s="193"/>
      <c r="I107" s="193"/>
      <c r="J107" s="193"/>
      <c r="K107" s="193"/>
      <c r="L107" s="193"/>
    </row>
    <row r="108" spans="1:12" x14ac:dyDescent="0.25">
      <c r="A108" s="191"/>
      <c r="B108" s="192"/>
      <c r="C108" s="193"/>
      <c r="D108" s="193"/>
      <c r="E108" s="193"/>
      <c r="F108" s="193"/>
      <c r="G108" s="193"/>
      <c r="H108" s="193"/>
      <c r="I108" s="193"/>
      <c r="J108" s="193"/>
      <c r="K108" s="193"/>
      <c r="L108" s="193"/>
    </row>
    <row r="109" spans="1:12" x14ac:dyDescent="0.25">
      <c r="A109" s="191"/>
      <c r="B109" s="192"/>
      <c r="C109" s="193"/>
      <c r="D109" s="193"/>
      <c r="E109" s="193"/>
      <c r="F109" s="193"/>
      <c r="G109" s="193"/>
      <c r="H109" s="193"/>
      <c r="I109" s="193"/>
      <c r="J109" s="193"/>
      <c r="K109" s="193"/>
      <c r="L109" s="193"/>
    </row>
    <row r="110" spans="1:12" x14ac:dyDescent="0.25">
      <c r="A110" s="191"/>
      <c r="B110" s="192"/>
      <c r="C110" s="193"/>
      <c r="D110" s="193"/>
      <c r="E110" s="193"/>
      <c r="F110" s="193"/>
      <c r="G110" s="193"/>
      <c r="H110" s="193"/>
      <c r="I110" s="193"/>
      <c r="J110" s="193"/>
      <c r="K110" s="193"/>
      <c r="L110" s="193"/>
    </row>
    <row r="111" spans="1:12" x14ac:dyDescent="0.25">
      <c r="A111" s="191"/>
      <c r="B111" s="192"/>
      <c r="C111" s="193"/>
      <c r="D111" s="193"/>
      <c r="E111" s="193"/>
      <c r="F111" s="193"/>
      <c r="G111" s="193"/>
      <c r="H111" s="193"/>
      <c r="I111" s="193"/>
      <c r="J111" s="193"/>
      <c r="K111" s="193"/>
      <c r="L111" s="193"/>
    </row>
    <row r="112" spans="1:12" x14ac:dyDescent="0.25">
      <c r="A112" s="191"/>
      <c r="B112" s="192"/>
      <c r="C112" s="193"/>
      <c r="D112" s="193"/>
      <c r="E112" s="193"/>
      <c r="F112" s="193"/>
      <c r="G112" s="193"/>
      <c r="H112" s="193"/>
      <c r="I112" s="193"/>
      <c r="J112" s="193"/>
      <c r="K112" s="193"/>
      <c r="L112" s="193"/>
    </row>
    <row r="113" spans="1:12" x14ac:dyDescent="0.25">
      <c r="A113" s="191"/>
      <c r="B113" s="192"/>
      <c r="C113" s="193"/>
      <c r="D113" s="193"/>
      <c r="E113" s="193"/>
      <c r="F113" s="193"/>
      <c r="G113" s="193"/>
      <c r="H113" s="193"/>
      <c r="I113" s="193"/>
      <c r="J113" s="193"/>
      <c r="K113" s="193"/>
      <c r="L113" s="193"/>
    </row>
    <row r="114" spans="1:12" x14ac:dyDescent="0.25">
      <c r="A114" s="191"/>
      <c r="B114" s="192"/>
      <c r="C114" s="193"/>
      <c r="D114" s="193"/>
      <c r="E114" s="193"/>
      <c r="F114" s="193"/>
      <c r="G114" s="193"/>
      <c r="H114" s="193"/>
      <c r="I114" s="193"/>
      <c r="J114" s="193"/>
      <c r="K114" s="193"/>
      <c r="L114" s="193"/>
    </row>
    <row r="115" spans="1:12" x14ac:dyDescent="0.25">
      <c r="A115" s="191"/>
      <c r="B115" s="192"/>
      <c r="C115" s="193"/>
      <c r="D115" s="193"/>
      <c r="E115" s="193"/>
      <c r="F115" s="193"/>
      <c r="G115" s="193"/>
      <c r="H115" s="193"/>
      <c r="I115" s="193"/>
      <c r="J115" s="193"/>
      <c r="K115" s="193"/>
      <c r="L115" s="193"/>
    </row>
    <row r="116" spans="1:12" x14ac:dyDescent="0.25">
      <c r="A116" s="191"/>
      <c r="B116" s="192"/>
      <c r="C116" s="193"/>
      <c r="D116" s="193"/>
      <c r="E116" s="193"/>
      <c r="F116" s="193"/>
      <c r="G116" s="193"/>
      <c r="H116" s="193"/>
      <c r="I116" s="193"/>
      <c r="J116" s="193"/>
      <c r="K116" s="193"/>
      <c r="L116" s="193"/>
    </row>
    <row r="117" spans="1:12" x14ac:dyDescent="0.25">
      <c r="A117" s="191"/>
      <c r="B117" s="192"/>
      <c r="C117" s="193"/>
      <c r="D117" s="193"/>
      <c r="E117" s="193"/>
      <c r="F117" s="193"/>
      <c r="G117" s="193"/>
      <c r="H117" s="193"/>
      <c r="I117" s="193"/>
      <c r="J117" s="193"/>
      <c r="K117" s="193"/>
      <c r="L117" s="193"/>
    </row>
    <row r="118" spans="1:12" x14ac:dyDescent="0.25">
      <c r="A118" s="191"/>
      <c r="B118" s="192"/>
      <c r="C118" s="193"/>
      <c r="D118" s="193"/>
      <c r="E118" s="193"/>
      <c r="F118" s="193"/>
      <c r="G118" s="193"/>
      <c r="H118" s="193"/>
      <c r="I118" s="193"/>
      <c r="J118" s="193"/>
      <c r="K118" s="193"/>
      <c r="L118" s="193"/>
    </row>
    <row r="119" spans="1:12" x14ac:dyDescent="0.25">
      <c r="A119" s="191"/>
      <c r="B119" s="192"/>
      <c r="C119" s="193"/>
      <c r="D119" s="193"/>
      <c r="E119" s="193"/>
      <c r="F119" s="193"/>
      <c r="G119" s="193"/>
      <c r="H119" s="193"/>
      <c r="I119" s="193"/>
      <c r="J119" s="193"/>
      <c r="K119" s="193"/>
      <c r="L119" s="193"/>
    </row>
    <row r="120" spans="1:12" x14ac:dyDescent="0.25">
      <c r="A120" s="191"/>
      <c r="B120" s="192"/>
      <c r="C120" s="193"/>
      <c r="D120" s="193"/>
      <c r="E120" s="193"/>
      <c r="F120" s="193"/>
      <c r="G120" s="193"/>
      <c r="H120" s="193"/>
      <c r="I120" s="193"/>
      <c r="J120" s="193"/>
      <c r="K120" s="193"/>
      <c r="L120" s="193"/>
    </row>
    <row r="121" spans="1:12" x14ac:dyDescent="0.25">
      <c r="A121" s="191"/>
      <c r="B121" s="192"/>
      <c r="C121" s="193"/>
      <c r="D121" s="193"/>
      <c r="E121" s="193"/>
      <c r="F121" s="193"/>
      <c r="G121" s="193"/>
      <c r="H121" s="193"/>
      <c r="I121" s="193"/>
      <c r="J121" s="193"/>
      <c r="K121" s="193"/>
      <c r="L121" s="193"/>
    </row>
    <row r="122" spans="1:12" x14ac:dyDescent="0.25">
      <c r="A122" s="191"/>
      <c r="B122" s="192"/>
      <c r="C122" s="193"/>
      <c r="D122" s="193"/>
      <c r="E122" s="193"/>
      <c r="F122" s="193"/>
      <c r="G122" s="193"/>
      <c r="H122" s="193"/>
      <c r="I122" s="193"/>
      <c r="J122" s="193"/>
      <c r="K122" s="193"/>
      <c r="L122" s="193"/>
    </row>
    <row r="123" spans="1:12" x14ac:dyDescent="0.25">
      <c r="A123" s="191"/>
      <c r="B123" s="192"/>
      <c r="C123" s="193"/>
      <c r="D123" s="193"/>
      <c r="E123" s="193"/>
      <c r="F123" s="193"/>
      <c r="G123" s="193"/>
      <c r="H123" s="193"/>
      <c r="I123" s="193"/>
      <c r="J123" s="193"/>
      <c r="K123" s="193"/>
      <c r="L123" s="193"/>
    </row>
    <row r="124" spans="1:12" x14ac:dyDescent="0.25">
      <c r="A124" s="191"/>
      <c r="B124" s="192"/>
      <c r="C124" s="193"/>
      <c r="D124" s="193"/>
      <c r="E124" s="193"/>
      <c r="F124" s="193"/>
      <c r="G124" s="193"/>
      <c r="H124" s="193"/>
      <c r="I124" s="193"/>
      <c r="J124" s="193"/>
      <c r="K124" s="193"/>
      <c r="L124" s="19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6"/>
  <sheetViews>
    <sheetView showGridLines="0" zoomScaleNormal="100" workbookViewId="0">
      <selection activeCell="F11" sqref="F11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35</v>
      </c>
    </row>
    <row r="2" spans="1:2" ht="21" customHeight="1" thickTop="1" thickBot="1" x14ac:dyDescent="0.3">
      <c r="A2" s="10" t="s">
        <v>20</v>
      </c>
      <c r="B2" s="11" t="s">
        <v>36</v>
      </c>
    </row>
    <row r="3" spans="1:2" ht="23.25" customHeight="1" thickTop="1" thickBot="1" x14ac:dyDescent="0.3">
      <c r="A3" s="12" t="s">
        <v>37</v>
      </c>
      <c r="B3" s="13"/>
    </row>
    <row r="4" spans="1:2" ht="23.25" customHeight="1" thickBot="1" x14ac:dyDescent="0.3">
      <c r="A4" s="16" t="s">
        <v>38</v>
      </c>
      <c r="B4" s="17"/>
    </row>
    <row r="5" spans="1:2" ht="15.75" thickTop="1" x14ac:dyDescent="0.25"/>
    <row r="6" spans="1:2" x14ac:dyDescent="0.25">
      <c r="A6" s="322" t="s">
        <v>1481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2"/>
  <sheetViews>
    <sheetView topLeftCell="A43" workbookViewId="0">
      <selection activeCell="B23" sqref="B23"/>
    </sheetView>
  </sheetViews>
  <sheetFormatPr defaultRowHeight="15" x14ac:dyDescent="0.25"/>
  <cols>
    <col min="1" max="1" width="8.28515625" style="197" bestFit="1" customWidth="1"/>
    <col min="2" max="2" width="86.140625" style="197" bestFit="1" customWidth="1"/>
    <col min="3" max="3" width="4.42578125" style="198" bestFit="1" customWidth="1"/>
    <col min="4" max="7" width="15.28515625" style="199" bestFit="1" customWidth="1"/>
    <col min="8" max="16384" width="9.140625" style="190"/>
  </cols>
  <sheetData>
    <row r="1" spans="1:7" ht="33.75" x14ac:dyDescent="0.25">
      <c r="A1" s="201" t="s">
        <v>503</v>
      </c>
      <c r="B1" s="201" t="s">
        <v>511</v>
      </c>
      <c r="C1" s="200" t="s">
        <v>526</v>
      </c>
      <c r="D1" s="202" t="s">
        <v>527</v>
      </c>
      <c r="E1" s="202" t="s">
        <v>528</v>
      </c>
      <c r="F1" s="202" t="s">
        <v>510</v>
      </c>
      <c r="G1" s="202" t="s">
        <v>508</v>
      </c>
    </row>
    <row r="2" spans="1:7" x14ac:dyDescent="0.25">
      <c r="A2" s="192" t="s">
        <v>995</v>
      </c>
      <c r="B2" s="192" t="s">
        <v>996</v>
      </c>
      <c r="C2" s="191" t="s">
        <v>997</v>
      </c>
      <c r="D2" s="193">
        <v>5503420.04</v>
      </c>
      <c r="E2" s="193">
        <v>5577160.2800000003</v>
      </c>
      <c r="F2" s="193">
        <v>5503420</v>
      </c>
      <c r="G2" s="193">
        <v>5577160</v>
      </c>
    </row>
    <row r="3" spans="1:7" x14ac:dyDescent="0.25">
      <c r="A3" s="192" t="s">
        <v>998</v>
      </c>
      <c r="B3" s="192" t="s">
        <v>999</v>
      </c>
      <c r="C3" s="191" t="s">
        <v>1000</v>
      </c>
      <c r="D3" s="193">
        <v>4242044.8600000003</v>
      </c>
      <c r="E3" s="193">
        <v>4302021.7300000004</v>
      </c>
      <c r="F3" s="193">
        <v>4242045</v>
      </c>
      <c r="G3" s="193">
        <v>4302022</v>
      </c>
    </row>
    <row r="4" spans="1:7" x14ac:dyDescent="0.25">
      <c r="A4" s="192" t="s">
        <v>1001</v>
      </c>
      <c r="B4" s="192" t="s">
        <v>1002</v>
      </c>
      <c r="C4" s="191" t="s">
        <v>1003</v>
      </c>
      <c r="D4" s="193">
        <v>1261375.18</v>
      </c>
      <c r="E4" s="193">
        <v>1275138.55</v>
      </c>
      <c r="F4" s="193">
        <v>1261375</v>
      </c>
      <c r="G4" s="193">
        <v>1275138</v>
      </c>
    </row>
    <row r="5" spans="1:7" x14ac:dyDescent="0.25">
      <c r="A5" s="192" t="s">
        <v>1004</v>
      </c>
      <c r="B5" s="192" t="s">
        <v>1005</v>
      </c>
      <c r="C5" s="191" t="s">
        <v>1006</v>
      </c>
      <c r="D5" s="193">
        <v>105610.37</v>
      </c>
      <c r="E5" s="193">
        <v>141087.95000000001</v>
      </c>
      <c r="F5" s="193">
        <v>105610</v>
      </c>
      <c r="G5" s="193">
        <v>141088</v>
      </c>
    </row>
    <row r="6" spans="1:7" x14ac:dyDescent="0.25">
      <c r="A6" s="192" t="s">
        <v>1007</v>
      </c>
      <c r="B6" s="192" t="s">
        <v>1008</v>
      </c>
      <c r="C6" s="191" t="s">
        <v>1009</v>
      </c>
      <c r="D6" s="193">
        <v>105610.37</v>
      </c>
      <c r="E6" s="193">
        <v>141087.95000000001</v>
      </c>
      <c r="F6" s="193">
        <v>105610</v>
      </c>
      <c r="G6" s="193">
        <v>141088</v>
      </c>
    </row>
    <row r="7" spans="1:7" x14ac:dyDescent="0.25">
      <c r="A7" s="192">
        <v>2</v>
      </c>
      <c r="B7" s="192" t="s">
        <v>1010</v>
      </c>
      <c r="C7" s="191" t="s">
        <v>1011</v>
      </c>
      <c r="D7" s="193">
        <v>0</v>
      </c>
      <c r="E7" s="193">
        <v>0</v>
      </c>
      <c r="F7" s="193">
        <v>0</v>
      </c>
      <c r="G7" s="193">
        <v>0</v>
      </c>
    </row>
    <row r="8" spans="1:7" x14ac:dyDescent="0.25">
      <c r="A8" s="192">
        <v>3</v>
      </c>
      <c r="B8" s="192" t="s">
        <v>1012</v>
      </c>
      <c r="C8" s="191" t="s">
        <v>1013</v>
      </c>
      <c r="D8" s="193">
        <v>0</v>
      </c>
      <c r="E8" s="193">
        <v>0</v>
      </c>
      <c r="F8" s="193">
        <v>0</v>
      </c>
      <c r="G8" s="193">
        <v>0</v>
      </c>
    </row>
    <row r="9" spans="1:7" x14ac:dyDescent="0.25">
      <c r="A9" s="192" t="s">
        <v>1014</v>
      </c>
      <c r="B9" s="192" t="s">
        <v>1015</v>
      </c>
      <c r="C9" s="191" t="s">
        <v>1016</v>
      </c>
      <c r="D9" s="193">
        <v>457276.36</v>
      </c>
      <c r="E9" s="193">
        <v>510744.41</v>
      </c>
      <c r="F9" s="193">
        <v>457276</v>
      </c>
      <c r="G9" s="193">
        <v>510744</v>
      </c>
    </row>
    <row r="10" spans="1:7" x14ac:dyDescent="0.25">
      <c r="A10" s="192" t="s">
        <v>1017</v>
      </c>
      <c r="B10" s="192" t="s">
        <v>1018</v>
      </c>
      <c r="C10" s="191" t="s">
        <v>1019</v>
      </c>
      <c r="D10" s="193">
        <v>161798.35</v>
      </c>
      <c r="E10" s="193">
        <v>157353.16</v>
      </c>
      <c r="F10" s="193">
        <v>161798</v>
      </c>
      <c r="G10" s="193">
        <v>157353</v>
      </c>
    </row>
    <row r="11" spans="1:7" x14ac:dyDescent="0.25">
      <c r="A11" s="192">
        <v>2</v>
      </c>
      <c r="B11" s="192" t="s">
        <v>1020</v>
      </c>
      <c r="C11" s="191" t="s">
        <v>1021</v>
      </c>
      <c r="D11" s="193">
        <v>295478.01</v>
      </c>
      <c r="E11" s="193">
        <v>353391.25</v>
      </c>
      <c r="F11" s="193">
        <v>295478</v>
      </c>
      <c r="G11" s="193">
        <v>353391</v>
      </c>
    </row>
    <row r="12" spans="1:7" x14ac:dyDescent="0.25">
      <c r="A12" s="192" t="s">
        <v>1001</v>
      </c>
      <c r="B12" s="192" t="s">
        <v>1022</v>
      </c>
      <c r="C12" s="191" t="s">
        <v>1023</v>
      </c>
      <c r="D12" s="193">
        <v>909709.19</v>
      </c>
      <c r="E12" s="193">
        <v>905482.09</v>
      </c>
      <c r="F12" s="193">
        <v>909709</v>
      </c>
      <c r="G12" s="193">
        <v>905482</v>
      </c>
    </row>
    <row r="13" spans="1:7" x14ac:dyDescent="0.25">
      <c r="A13" s="192" t="s">
        <v>1024</v>
      </c>
      <c r="B13" s="192" t="s">
        <v>1025</v>
      </c>
      <c r="C13" s="191" t="s">
        <v>1026</v>
      </c>
      <c r="D13" s="193">
        <v>557404.9</v>
      </c>
      <c r="E13" s="193">
        <v>553898.41</v>
      </c>
      <c r="F13" s="193">
        <v>557405</v>
      </c>
      <c r="G13" s="193">
        <v>553899</v>
      </c>
    </row>
    <row r="14" spans="1:7" x14ac:dyDescent="0.25">
      <c r="A14" s="192" t="s">
        <v>1027</v>
      </c>
      <c r="B14" s="192" t="s">
        <v>1028</v>
      </c>
      <c r="C14" s="191" t="s">
        <v>1029</v>
      </c>
      <c r="D14" s="193">
        <v>401600.65</v>
      </c>
      <c r="E14" s="193">
        <v>399957.55</v>
      </c>
      <c r="F14" s="193">
        <v>401601</v>
      </c>
      <c r="G14" s="193">
        <v>399958</v>
      </c>
    </row>
    <row r="15" spans="1:7" x14ac:dyDescent="0.25">
      <c r="A15" s="192">
        <v>2</v>
      </c>
      <c r="B15" s="192" t="s">
        <v>1030</v>
      </c>
      <c r="C15" s="191" t="s">
        <v>1031</v>
      </c>
      <c r="D15" s="193">
        <v>0</v>
      </c>
      <c r="E15" s="193">
        <v>0</v>
      </c>
      <c r="F15" s="193">
        <v>0</v>
      </c>
      <c r="G15" s="193">
        <v>0</v>
      </c>
    </row>
    <row r="16" spans="1:7" x14ac:dyDescent="0.25">
      <c r="A16" s="192">
        <v>3</v>
      </c>
      <c r="B16" s="192" t="s">
        <v>1032</v>
      </c>
      <c r="C16" s="191" t="s">
        <v>1033</v>
      </c>
      <c r="D16" s="193">
        <v>142883.4</v>
      </c>
      <c r="E16" s="193">
        <v>138922.71</v>
      </c>
      <c r="F16" s="193">
        <v>142883</v>
      </c>
      <c r="G16" s="193">
        <v>138923</v>
      </c>
    </row>
    <row r="17" spans="1:7" x14ac:dyDescent="0.25">
      <c r="A17" s="192">
        <v>4</v>
      </c>
      <c r="B17" s="192" t="s">
        <v>1034</v>
      </c>
      <c r="C17" s="191" t="s">
        <v>1035</v>
      </c>
      <c r="D17" s="193">
        <v>12920.85</v>
      </c>
      <c r="E17" s="193">
        <v>15018.15</v>
      </c>
      <c r="F17" s="193">
        <v>12921</v>
      </c>
      <c r="G17" s="193">
        <v>15018</v>
      </c>
    </row>
    <row r="18" spans="1:7" x14ac:dyDescent="0.25">
      <c r="A18" s="192" t="s">
        <v>1036</v>
      </c>
      <c r="B18" s="192" t="s">
        <v>1037</v>
      </c>
      <c r="C18" s="191" t="s">
        <v>1038</v>
      </c>
      <c r="D18" s="193">
        <v>18162.22</v>
      </c>
      <c r="E18" s="193">
        <v>19296.580000000002</v>
      </c>
      <c r="F18" s="193">
        <v>18162</v>
      </c>
      <c r="G18" s="193">
        <v>19297</v>
      </c>
    </row>
    <row r="19" spans="1:7" x14ac:dyDescent="0.25">
      <c r="A19" s="192" t="s">
        <v>1039</v>
      </c>
      <c r="B19" s="192" t="s">
        <v>1040</v>
      </c>
      <c r="C19" s="191" t="s">
        <v>1041</v>
      </c>
      <c r="D19" s="193">
        <v>168740.33</v>
      </c>
      <c r="E19" s="193">
        <v>191298.27</v>
      </c>
      <c r="F19" s="193">
        <v>168740</v>
      </c>
      <c r="G19" s="193">
        <v>191298</v>
      </c>
    </row>
    <row r="20" spans="1:7" x14ac:dyDescent="0.25">
      <c r="A20" s="192" t="s">
        <v>1042</v>
      </c>
      <c r="B20" s="192" t="s">
        <v>1043</v>
      </c>
      <c r="C20" s="191" t="s">
        <v>1044</v>
      </c>
      <c r="D20" s="193">
        <v>7539.22</v>
      </c>
      <c r="E20" s="193">
        <v>8082.04</v>
      </c>
      <c r="F20" s="193">
        <v>7539</v>
      </c>
      <c r="G20" s="193">
        <v>8082</v>
      </c>
    </row>
    <row r="21" spans="1:7" x14ac:dyDescent="0.25">
      <c r="A21" s="192" t="s">
        <v>1045</v>
      </c>
      <c r="B21" s="192" t="s">
        <v>1046</v>
      </c>
      <c r="C21" s="191" t="s">
        <v>1047</v>
      </c>
      <c r="D21" s="193">
        <v>0</v>
      </c>
      <c r="E21" s="193">
        <v>0</v>
      </c>
      <c r="F21" s="193">
        <v>0</v>
      </c>
      <c r="G21" s="193">
        <v>0</v>
      </c>
    </row>
    <row r="22" spans="1:7" x14ac:dyDescent="0.25">
      <c r="A22" s="192" t="s">
        <v>1048</v>
      </c>
      <c r="B22" s="192" t="s">
        <v>1049</v>
      </c>
      <c r="C22" s="191" t="s">
        <v>1050</v>
      </c>
      <c r="D22" s="193">
        <v>22864.27</v>
      </c>
      <c r="E22" s="193">
        <v>5502.71</v>
      </c>
      <c r="F22" s="193">
        <v>22864</v>
      </c>
      <c r="G22" s="193">
        <v>5503</v>
      </c>
    </row>
    <row r="23" spans="1:7" x14ac:dyDescent="0.25">
      <c r="A23" s="192" t="s">
        <v>1051</v>
      </c>
      <c r="B23" s="192" t="s">
        <v>1052</v>
      </c>
      <c r="C23" s="191" t="s">
        <v>1053</v>
      </c>
      <c r="D23" s="193">
        <v>20944.98</v>
      </c>
      <c r="E23" s="193">
        <v>17037.14</v>
      </c>
      <c r="F23" s="193">
        <v>20945</v>
      </c>
      <c r="G23" s="193">
        <v>17037</v>
      </c>
    </row>
    <row r="24" spans="1:7" x14ac:dyDescent="0.25">
      <c r="A24" s="192" t="s">
        <v>1054</v>
      </c>
      <c r="B24" s="192" t="s">
        <v>1055</v>
      </c>
      <c r="C24" s="191" t="s">
        <v>1056</v>
      </c>
      <c r="D24" s="193">
        <v>21982.93</v>
      </c>
      <c r="E24" s="193">
        <v>2038.31</v>
      </c>
      <c r="F24" s="193">
        <v>21983</v>
      </c>
      <c r="G24" s="193">
        <v>2038</v>
      </c>
    </row>
    <row r="25" spans="1:7" x14ac:dyDescent="0.25">
      <c r="A25" s="192" t="s">
        <v>1057</v>
      </c>
      <c r="B25" s="192" t="s">
        <v>1058</v>
      </c>
      <c r="C25" s="191" t="s">
        <v>1059</v>
      </c>
      <c r="D25" s="193">
        <v>0</v>
      </c>
      <c r="E25" s="193">
        <v>0</v>
      </c>
      <c r="F25" s="193">
        <v>0</v>
      </c>
      <c r="G25" s="193">
        <v>0</v>
      </c>
    </row>
    <row r="26" spans="1:7" x14ac:dyDescent="0.25">
      <c r="A26" s="192" t="s">
        <v>995</v>
      </c>
      <c r="B26" s="192" t="s">
        <v>1060</v>
      </c>
      <c r="C26" s="191" t="s">
        <v>1061</v>
      </c>
      <c r="D26" s="193">
        <v>0</v>
      </c>
      <c r="E26" s="193">
        <v>0</v>
      </c>
      <c r="F26" s="193">
        <v>0</v>
      </c>
      <c r="G26" s="193">
        <v>0</v>
      </c>
    </row>
    <row r="27" spans="1:7" x14ac:dyDescent="0.25">
      <c r="A27" s="192" t="s">
        <v>1062</v>
      </c>
      <c r="B27" s="192" t="s">
        <v>1063</v>
      </c>
      <c r="C27" s="191" t="s">
        <v>1064</v>
      </c>
      <c r="D27" s="193">
        <v>149038.74</v>
      </c>
      <c r="E27" s="193">
        <v>158566.99</v>
      </c>
      <c r="F27" s="193">
        <v>149039</v>
      </c>
      <c r="G27" s="193">
        <v>158566</v>
      </c>
    </row>
    <row r="28" spans="1:7" x14ac:dyDescent="0.25">
      <c r="A28" s="192" t="s">
        <v>1065</v>
      </c>
      <c r="B28" s="192" t="s">
        <v>1066</v>
      </c>
      <c r="C28" s="191" t="s">
        <v>1067</v>
      </c>
      <c r="D28" s="193">
        <v>0</v>
      </c>
      <c r="E28" s="193">
        <v>0</v>
      </c>
      <c r="F28" s="193">
        <v>0</v>
      </c>
      <c r="G28" s="193">
        <v>0</v>
      </c>
    </row>
    <row r="29" spans="1:7" x14ac:dyDescent="0.25">
      <c r="A29" s="192" t="s">
        <v>1068</v>
      </c>
      <c r="B29" s="192" t="s">
        <v>1069</v>
      </c>
      <c r="C29" s="191" t="s">
        <v>1070</v>
      </c>
      <c r="D29" s="193">
        <v>0</v>
      </c>
      <c r="E29" s="193">
        <v>0</v>
      </c>
      <c r="F29" s="193">
        <v>0</v>
      </c>
      <c r="G29" s="193">
        <v>0</v>
      </c>
    </row>
    <row r="30" spans="1:7" x14ac:dyDescent="0.25">
      <c r="A30" s="192" t="s">
        <v>1071</v>
      </c>
      <c r="B30" s="192" t="s">
        <v>1072</v>
      </c>
      <c r="C30" s="191" t="s">
        <v>1073</v>
      </c>
      <c r="D30" s="193">
        <v>0</v>
      </c>
      <c r="E30" s="193">
        <v>0</v>
      </c>
      <c r="F30" s="193">
        <v>0</v>
      </c>
      <c r="G30" s="193">
        <v>0</v>
      </c>
    </row>
    <row r="31" spans="1:7" x14ac:dyDescent="0.25">
      <c r="A31" s="192" t="s">
        <v>1074</v>
      </c>
      <c r="B31" s="192" t="s">
        <v>1075</v>
      </c>
      <c r="C31" s="191" t="s">
        <v>1076</v>
      </c>
      <c r="D31" s="193">
        <v>0</v>
      </c>
      <c r="E31" s="193">
        <v>0</v>
      </c>
      <c r="F31" s="193">
        <v>0</v>
      </c>
      <c r="G31" s="193">
        <v>0</v>
      </c>
    </row>
    <row r="32" spans="1:7" x14ac:dyDescent="0.25">
      <c r="A32" s="192">
        <v>2</v>
      </c>
      <c r="B32" s="192" t="s">
        <v>1077</v>
      </c>
      <c r="C32" s="191" t="s">
        <v>1078</v>
      </c>
      <c r="D32" s="193">
        <v>0</v>
      </c>
      <c r="E32" s="193">
        <v>0</v>
      </c>
      <c r="F32" s="193">
        <v>0</v>
      </c>
      <c r="G32" s="193">
        <v>0</v>
      </c>
    </row>
    <row r="33" spans="1:7" x14ac:dyDescent="0.25">
      <c r="A33" s="192">
        <v>3</v>
      </c>
      <c r="B33" s="192" t="s">
        <v>1079</v>
      </c>
      <c r="C33" s="191" t="s">
        <v>1080</v>
      </c>
      <c r="D33" s="193">
        <v>0</v>
      </c>
      <c r="E33" s="193">
        <v>0</v>
      </c>
      <c r="F33" s="193">
        <v>0</v>
      </c>
      <c r="G33" s="193">
        <v>0</v>
      </c>
    </row>
    <row r="34" spans="1:7" x14ac:dyDescent="0.25">
      <c r="A34" s="192" t="s">
        <v>1081</v>
      </c>
      <c r="B34" s="192" t="s">
        <v>1082</v>
      </c>
      <c r="C34" s="191" t="s">
        <v>1083</v>
      </c>
      <c r="D34" s="193">
        <v>0</v>
      </c>
      <c r="E34" s="193">
        <v>0</v>
      </c>
      <c r="F34" s="193">
        <v>0</v>
      </c>
      <c r="G34" s="193">
        <v>0</v>
      </c>
    </row>
    <row r="35" spans="1:7" x14ac:dyDescent="0.25">
      <c r="A35" s="192" t="s">
        <v>1084</v>
      </c>
      <c r="B35" s="192" t="s">
        <v>1085</v>
      </c>
      <c r="C35" s="191" t="s">
        <v>1086</v>
      </c>
      <c r="D35" s="193">
        <v>0</v>
      </c>
      <c r="E35" s="193">
        <v>0</v>
      </c>
      <c r="F35" s="193">
        <v>0</v>
      </c>
      <c r="G35" s="193">
        <v>0</v>
      </c>
    </row>
    <row r="36" spans="1:7" x14ac:dyDescent="0.25">
      <c r="A36" s="192" t="s">
        <v>1087</v>
      </c>
      <c r="B36" s="192" t="s">
        <v>1088</v>
      </c>
      <c r="C36" s="191" t="s">
        <v>1089</v>
      </c>
      <c r="D36" s="193">
        <v>0</v>
      </c>
      <c r="E36" s="193">
        <v>0</v>
      </c>
      <c r="F36" s="193">
        <v>0</v>
      </c>
      <c r="G36" s="193">
        <v>0</v>
      </c>
    </row>
    <row r="37" spans="1:7" x14ac:dyDescent="0.25">
      <c r="A37" s="192" t="s">
        <v>1090</v>
      </c>
      <c r="B37" s="192" t="s">
        <v>1091</v>
      </c>
      <c r="C37" s="191" t="s">
        <v>1092</v>
      </c>
      <c r="D37" s="193">
        <v>0</v>
      </c>
      <c r="E37" s="193">
        <v>0</v>
      </c>
      <c r="F37" s="193">
        <v>0</v>
      </c>
      <c r="G37" s="193">
        <v>0</v>
      </c>
    </row>
    <row r="38" spans="1:7" x14ac:dyDescent="0.25">
      <c r="A38" s="192" t="s">
        <v>1093</v>
      </c>
      <c r="B38" s="192" t="s">
        <v>1094</v>
      </c>
      <c r="C38" s="191" t="s">
        <v>1095</v>
      </c>
      <c r="D38" s="193">
        <v>0</v>
      </c>
      <c r="E38" s="193">
        <v>0</v>
      </c>
      <c r="F38" s="193">
        <v>0</v>
      </c>
      <c r="G38" s="193">
        <v>0</v>
      </c>
    </row>
    <row r="39" spans="1:7" x14ac:dyDescent="0.25">
      <c r="A39" s="192" t="s">
        <v>1096</v>
      </c>
      <c r="B39" s="192" t="s">
        <v>1097</v>
      </c>
      <c r="C39" s="191" t="s">
        <v>1098</v>
      </c>
      <c r="D39" s="193">
        <v>53.23</v>
      </c>
      <c r="E39" s="193">
        <v>0.69</v>
      </c>
      <c r="F39" s="193">
        <v>53</v>
      </c>
      <c r="G39" s="193">
        <v>1</v>
      </c>
    </row>
    <row r="40" spans="1:7" x14ac:dyDescent="0.25">
      <c r="A40" s="192" t="s">
        <v>1099</v>
      </c>
      <c r="B40" s="192" t="s">
        <v>1100</v>
      </c>
      <c r="C40" s="191" t="s">
        <v>1101</v>
      </c>
      <c r="D40" s="193">
        <v>35650.699999999997</v>
      </c>
      <c r="E40" s="193">
        <v>46949.32</v>
      </c>
      <c r="F40" s="193">
        <v>35651</v>
      </c>
      <c r="G40" s="193">
        <v>46949</v>
      </c>
    </row>
    <row r="41" spans="1:7" x14ac:dyDescent="0.25">
      <c r="A41" s="192" t="s">
        <v>1102</v>
      </c>
      <c r="B41" s="192" t="s">
        <v>1103</v>
      </c>
      <c r="C41" s="191" t="s">
        <v>1104</v>
      </c>
      <c r="D41" s="193">
        <v>7.54</v>
      </c>
      <c r="E41" s="193">
        <v>75.62</v>
      </c>
      <c r="F41" s="193">
        <v>8</v>
      </c>
      <c r="G41" s="193">
        <v>76</v>
      </c>
    </row>
    <row r="42" spans="1:7" x14ac:dyDescent="0.25">
      <c r="A42" s="192" t="s">
        <v>1105</v>
      </c>
      <c r="B42" s="192" t="s">
        <v>1106</v>
      </c>
      <c r="C42" s="191" t="s">
        <v>1107</v>
      </c>
      <c r="D42" s="193">
        <v>55.96</v>
      </c>
      <c r="E42" s="193">
        <v>322.04000000000002</v>
      </c>
      <c r="F42" s="193">
        <v>56</v>
      </c>
      <c r="G42" s="193">
        <v>322</v>
      </c>
    </row>
    <row r="43" spans="1:7" x14ac:dyDescent="0.25">
      <c r="A43" s="192" t="s">
        <v>1108</v>
      </c>
      <c r="B43" s="192" t="s">
        <v>1109</v>
      </c>
      <c r="C43" s="191" t="s">
        <v>1110</v>
      </c>
      <c r="D43" s="193">
        <v>259.95999999999998</v>
      </c>
      <c r="E43" s="193">
        <v>5.85</v>
      </c>
      <c r="F43" s="193">
        <v>260</v>
      </c>
      <c r="G43" s="193">
        <v>6</v>
      </c>
    </row>
    <row r="44" spans="1:7" x14ac:dyDescent="0.25">
      <c r="A44" s="192" t="s">
        <v>1111</v>
      </c>
      <c r="B44" s="192" t="s">
        <v>1112</v>
      </c>
      <c r="C44" s="191" t="s">
        <v>1113</v>
      </c>
      <c r="D44" s="193">
        <v>26936.42</v>
      </c>
      <c r="E44" s="193">
        <v>26020.92</v>
      </c>
      <c r="F44" s="193">
        <v>26936</v>
      </c>
      <c r="G44" s="193">
        <v>26021</v>
      </c>
    </row>
    <row r="45" spans="1:7" x14ac:dyDescent="0.25">
      <c r="A45" s="192" t="s">
        <v>1114</v>
      </c>
      <c r="B45" s="192" t="s">
        <v>1115</v>
      </c>
      <c r="C45" s="191" t="s">
        <v>1116</v>
      </c>
      <c r="D45" s="193">
        <v>0</v>
      </c>
      <c r="E45" s="193">
        <v>0</v>
      </c>
      <c r="F45" s="193">
        <v>0</v>
      </c>
      <c r="G45" s="193">
        <v>0</v>
      </c>
    </row>
    <row r="46" spans="1:7" x14ac:dyDescent="0.25">
      <c r="A46" s="192" t="s">
        <v>1117</v>
      </c>
      <c r="B46" s="192" t="s">
        <v>1118</v>
      </c>
      <c r="C46" s="191" t="s">
        <v>1119</v>
      </c>
      <c r="D46" s="193">
        <v>0</v>
      </c>
      <c r="E46" s="193">
        <v>0</v>
      </c>
      <c r="F46" s="193">
        <v>0</v>
      </c>
      <c r="G46" s="193">
        <v>0</v>
      </c>
    </row>
    <row r="47" spans="1:7" x14ac:dyDescent="0.25">
      <c r="A47" s="192" t="s">
        <v>1062</v>
      </c>
      <c r="B47" s="192" t="s">
        <v>1120</v>
      </c>
      <c r="C47" s="191" t="s">
        <v>1121</v>
      </c>
      <c r="D47" s="193">
        <v>-62322.35</v>
      </c>
      <c r="E47" s="193">
        <v>-73210.12</v>
      </c>
      <c r="F47" s="193">
        <v>-62322</v>
      </c>
      <c r="G47" s="193">
        <v>-73209</v>
      </c>
    </row>
    <row r="48" spans="1:7" x14ac:dyDescent="0.25">
      <c r="A48" s="192" t="s">
        <v>1122</v>
      </c>
      <c r="B48" s="192" t="s">
        <v>1123</v>
      </c>
      <c r="C48" s="191" t="s">
        <v>1124</v>
      </c>
      <c r="D48" s="193">
        <v>86716.39</v>
      </c>
      <c r="E48" s="193">
        <v>85356.87</v>
      </c>
      <c r="F48" s="193">
        <v>86717</v>
      </c>
      <c r="G48" s="193">
        <v>85357</v>
      </c>
    </row>
    <row r="49" spans="1:7" x14ac:dyDescent="0.25">
      <c r="A49" s="192" t="s">
        <v>1125</v>
      </c>
      <c r="B49" s="192" t="s">
        <v>1126</v>
      </c>
      <c r="C49" s="191" t="s">
        <v>1127</v>
      </c>
      <c r="D49" s="193">
        <v>23687.439999999999</v>
      </c>
      <c r="E49" s="193">
        <v>20828.099999999999</v>
      </c>
      <c r="F49" s="193">
        <v>23688</v>
      </c>
      <c r="G49" s="193">
        <v>20828</v>
      </c>
    </row>
    <row r="50" spans="1:7" x14ac:dyDescent="0.25">
      <c r="A50" s="192" t="s">
        <v>1128</v>
      </c>
      <c r="B50" s="192" t="s">
        <v>1129</v>
      </c>
      <c r="C50" s="191" t="s">
        <v>1130</v>
      </c>
      <c r="D50" s="193">
        <v>20420.52</v>
      </c>
      <c r="E50" s="193">
        <v>13398.45</v>
      </c>
      <c r="F50" s="193">
        <v>20421</v>
      </c>
      <c r="G50" s="193">
        <v>13398</v>
      </c>
    </row>
    <row r="51" spans="1:7" x14ac:dyDescent="0.25">
      <c r="A51" s="192">
        <v>2</v>
      </c>
      <c r="B51" s="192" t="s">
        <v>1131</v>
      </c>
      <c r="C51" s="191" t="s">
        <v>1132</v>
      </c>
      <c r="D51" s="193">
        <v>3266.92</v>
      </c>
      <c r="E51" s="193">
        <v>7429.65</v>
      </c>
      <c r="F51" s="193">
        <v>3267</v>
      </c>
      <c r="G51" s="193">
        <v>7430</v>
      </c>
    </row>
    <row r="52" spans="1:7" x14ac:dyDescent="0.25">
      <c r="A52" s="192" t="s">
        <v>1122</v>
      </c>
      <c r="B52" s="192" t="s">
        <v>1133</v>
      </c>
      <c r="C52" s="191" t="s">
        <v>1134</v>
      </c>
      <c r="D52" s="193">
        <v>63028.95</v>
      </c>
      <c r="E52" s="193">
        <v>64528.77</v>
      </c>
      <c r="F52" s="193">
        <v>63029</v>
      </c>
      <c r="G52" s="193">
        <v>64529</v>
      </c>
    </row>
    <row r="53" spans="1:7" x14ac:dyDescent="0.25">
      <c r="A53" s="192" t="s">
        <v>1135</v>
      </c>
      <c r="B53" s="192" t="s">
        <v>1136</v>
      </c>
      <c r="C53" s="191" t="s">
        <v>1137</v>
      </c>
      <c r="D53" s="193">
        <v>0</v>
      </c>
      <c r="E53" s="193">
        <v>0</v>
      </c>
      <c r="F53" s="193">
        <v>0</v>
      </c>
      <c r="G53" s="193">
        <v>0</v>
      </c>
    </row>
    <row r="54" spans="1:7" x14ac:dyDescent="0.25">
      <c r="A54" s="192" t="s">
        <v>1138</v>
      </c>
      <c r="B54" s="192" t="s">
        <v>1139</v>
      </c>
      <c r="C54" s="191" t="s">
        <v>1140</v>
      </c>
      <c r="D54" s="193">
        <v>0</v>
      </c>
      <c r="E54" s="193">
        <v>0</v>
      </c>
      <c r="F54" s="193">
        <v>0</v>
      </c>
      <c r="G54" s="193">
        <v>0</v>
      </c>
    </row>
    <row r="55" spans="1:7" x14ac:dyDescent="0.25">
      <c r="A55" s="192" t="s">
        <v>1062</v>
      </c>
      <c r="B55" s="192" t="s">
        <v>1141</v>
      </c>
      <c r="C55" s="191" t="s">
        <v>1142</v>
      </c>
      <c r="D55" s="193">
        <v>0</v>
      </c>
      <c r="E55" s="193">
        <v>0</v>
      </c>
      <c r="F55" s="193">
        <v>0</v>
      </c>
      <c r="G55" s="193">
        <v>0</v>
      </c>
    </row>
    <row r="56" spans="1:7" x14ac:dyDescent="0.25">
      <c r="A56" s="192" t="s">
        <v>1143</v>
      </c>
      <c r="B56" s="192" t="s">
        <v>1144</v>
      </c>
      <c r="C56" s="191" t="s">
        <v>1145</v>
      </c>
      <c r="D56" s="193">
        <v>0</v>
      </c>
      <c r="E56" s="193">
        <v>0</v>
      </c>
      <c r="F56" s="193">
        <v>0</v>
      </c>
      <c r="G56" s="193">
        <v>0</v>
      </c>
    </row>
    <row r="57" spans="1:7" x14ac:dyDescent="0.25">
      <c r="A57" s="192" t="s">
        <v>1146</v>
      </c>
      <c r="B57" s="192" t="s">
        <v>1147</v>
      </c>
      <c r="C57" s="191" t="s">
        <v>1148</v>
      </c>
      <c r="D57" s="193">
        <v>0</v>
      </c>
      <c r="E57" s="193">
        <v>0</v>
      </c>
      <c r="F57" s="193">
        <v>0</v>
      </c>
      <c r="G57" s="193">
        <v>0</v>
      </c>
    </row>
    <row r="58" spans="1:7" x14ac:dyDescent="0.25">
      <c r="A58" s="192">
        <v>2</v>
      </c>
      <c r="B58" s="192" t="s">
        <v>1149</v>
      </c>
      <c r="C58" s="191" t="s">
        <v>1150</v>
      </c>
      <c r="D58" s="193">
        <v>0</v>
      </c>
      <c r="E58" s="193">
        <v>0</v>
      </c>
      <c r="F58" s="193">
        <v>0</v>
      </c>
      <c r="G58" s="193">
        <v>0</v>
      </c>
    </row>
    <row r="59" spans="1:7" x14ac:dyDescent="0.25">
      <c r="A59" s="192" t="s">
        <v>1062</v>
      </c>
      <c r="B59" s="192" t="s">
        <v>1151</v>
      </c>
      <c r="C59" s="191" t="s">
        <v>1152</v>
      </c>
      <c r="D59" s="193">
        <v>0</v>
      </c>
      <c r="E59" s="193">
        <v>0</v>
      </c>
      <c r="F59" s="193">
        <v>0</v>
      </c>
      <c r="G59" s="193">
        <v>0</v>
      </c>
    </row>
    <row r="60" spans="1:7" x14ac:dyDescent="0.25">
      <c r="A60" s="192" t="s">
        <v>1153</v>
      </c>
      <c r="B60" s="192" t="s">
        <v>1154</v>
      </c>
      <c r="C60" s="191" t="s">
        <v>1155</v>
      </c>
      <c r="D60" s="193">
        <v>86716.39</v>
      </c>
      <c r="E60" s="193">
        <v>85356.87</v>
      </c>
      <c r="F60" s="193">
        <v>86717</v>
      </c>
      <c r="G60" s="193">
        <v>85357</v>
      </c>
    </row>
    <row r="61" spans="1:7" x14ac:dyDescent="0.25">
      <c r="A61" s="192" t="s">
        <v>1057</v>
      </c>
      <c r="B61" s="192" t="s">
        <v>1156</v>
      </c>
      <c r="C61" s="191" t="s">
        <v>1157</v>
      </c>
      <c r="D61" s="193">
        <v>0</v>
      </c>
      <c r="E61" s="193">
        <v>0</v>
      </c>
      <c r="F61" s="193">
        <v>0</v>
      </c>
      <c r="G61" s="193">
        <v>0</v>
      </c>
    </row>
    <row r="62" spans="1:7" x14ac:dyDescent="0.25">
      <c r="A62" s="192" t="s">
        <v>1153</v>
      </c>
      <c r="B62" s="192" t="s">
        <v>1158</v>
      </c>
      <c r="C62" s="191" t="s">
        <v>1159</v>
      </c>
      <c r="D62" s="193">
        <v>63028.95</v>
      </c>
      <c r="E62" s="193">
        <v>64528.77</v>
      </c>
      <c r="F62" s="193">
        <v>63029</v>
      </c>
      <c r="G62" s="193">
        <v>64529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2"/>
  <sheetViews>
    <sheetView topLeftCell="A28" workbookViewId="0">
      <selection activeCell="B70" sqref="B70"/>
    </sheetView>
  </sheetViews>
  <sheetFormatPr defaultRowHeight="15" x14ac:dyDescent="0.25"/>
  <cols>
    <col min="1" max="1" width="8.28515625" style="195" bestFit="1" customWidth="1"/>
    <col min="2" max="2" width="86.140625" style="195" bestFit="1" customWidth="1"/>
    <col min="3" max="3" width="4.42578125" style="194" bestFit="1" customWidth="1"/>
    <col min="4" max="7" width="15.28515625" style="196" bestFit="1" customWidth="1"/>
    <col min="8" max="16384" width="9.140625" style="190"/>
  </cols>
  <sheetData>
    <row r="1" spans="1:7" ht="33.75" x14ac:dyDescent="0.25">
      <c r="A1" s="201" t="s">
        <v>503</v>
      </c>
      <c r="B1" s="201" t="s">
        <v>511</v>
      </c>
      <c r="C1" s="200" t="s">
        <v>526</v>
      </c>
      <c r="D1" s="202" t="s">
        <v>527</v>
      </c>
      <c r="E1" s="202" t="s">
        <v>528</v>
      </c>
      <c r="F1" s="202" t="s">
        <v>510</v>
      </c>
      <c r="G1" s="202" t="s">
        <v>508</v>
      </c>
    </row>
    <row r="2" spans="1:7" x14ac:dyDescent="0.25">
      <c r="A2" s="195" t="s">
        <v>995</v>
      </c>
      <c r="B2" s="195" t="s">
        <v>996</v>
      </c>
      <c r="C2" s="194" t="s">
        <v>997</v>
      </c>
      <c r="D2" s="196">
        <v>5577160.2800000003</v>
      </c>
      <c r="E2" s="196">
        <v>0</v>
      </c>
      <c r="F2" s="196">
        <v>5577160</v>
      </c>
      <c r="G2" s="196">
        <v>0</v>
      </c>
    </row>
    <row r="3" spans="1:7" x14ac:dyDescent="0.25">
      <c r="A3" s="195" t="s">
        <v>998</v>
      </c>
      <c r="B3" s="195" t="s">
        <v>999</v>
      </c>
      <c r="C3" s="194" t="s">
        <v>1000</v>
      </c>
      <c r="D3" s="193">
        <v>4302021.7300000004</v>
      </c>
      <c r="E3" s="193">
        <v>0</v>
      </c>
      <c r="F3" s="193">
        <v>4302022</v>
      </c>
      <c r="G3" s="193">
        <v>0</v>
      </c>
    </row>
    <row r="4" spans="1:7" x14ac:dyDescent="0.25">
      <c r="A4" s="195" t="s">
        <v>1001</v>
      </c>
      <c r="B4" s="195" t="s">
        <v>1002</v>
      </c>
      <c r="C4" s="194" t="s">
        <v>1003</v>
      </c>
      <c r="D4" s="196">
        <v>1275138.55</v>
      </c>
      <c r="E4" s="196">
        <v>0</v>
      </c>
      <c r="F4" s="196">
        <v>1275138</v>
      </c>
      <c r="G4" s="196">
        <v>0</v>
      </c>
    </row>
    <row r="5" spans="1:7" x14ac:dyDescent="0.25">
      <c r="A5" s="195" t="s">
        <v>1004</v>
      </c>
      <c r="B5" s="195" t="s">
        <v>1005</v>
      </c>
      <c r="C5" s="194" t="s">
        <v>1006</v>
      </c>
      <c r="D5" s="196">
        <v>141087.95000000001</v>
      </c>
      <c r="E5" s="196">
        <v>0</v>
      </c>
      <c r="F5" s="196">
        <v>141088</v>
      </c>
      <c r="G5" s="196">
        <v>0</v>
      </c>
    </row>
    <row r="6" spans="1:7" x14ac:dyDescent="0.25">
      <c r="A6" s="195" t="s">
        <v>1007</v>
      </c>
      <c r="B6" s="195" t="s">
        <v>1008</v>
      </c>
      <c r="C6" s="194" t="s">
        <v>1009</v>
      </c>
      <c r="D6" s="196">
        <v>141087.95000000001</v>
      </c>
      <c r="E6" s="196">
        <v>0</v>
      </c>
      <c r="F6" s="196">
        <v>141088</v>
      </c>
      <c r="G6" s="196">
        <v>0</v>
      </c>
    </row>
    <row r="7" spans="1:7" x14ac:dyDescent="0.25">
      <c r="A7" s="195">
        <v>2</v>
      </c>
      <c r="B7" s="195" t="s">
        <v>1010</v>
      </c>
      <c r="C7" s="194" t="s">
        <v>1011</v>
      </c>
      <c r="D7" s="196">
        <v>0</v>
      </c>
      <c r="E7" s="196">
        <v>0</v>
      </c>
      <c r="F7" s="196">
        <v>0</v>
      </c>
      <c r="G7" s="196">
        <v>0</v>
      </c>
    </row>
    <row r="8" spans="1:7" x14ac:dyDescent="0.25">
      <c r="A8" s="195">
        <v>3</v>
      </c>
      <c r="B8" s="195" t="s">
        <v>1012</v>
      </c>
      <c r="C8" s="194" t="s">
        <v>1013</v>
      </c>
      <c r="D8" s="196">
        <v>0</v>
      </c>
      <c r="E8" s="196">
        <v>0</v>
      </c>
      <c r="F8" s="196">
        <v>0</v>
      </c>
      <c r="G8" s="196">
        <v>0</v>
      </c>
    </row>
    <row r="9" spans="1:7" x14ac:dyDescent="0.25">
      <c r="A9" s="195" t="s">
        <v>1014</v>
      </c>
      <c r="B9" s="195" t="s">
        <v>1015</v>
      </c>
      <c r="C9" s="194" t="s">
        <v>1016</v>
      </c>
      <c r="D9" s="196">
        <v>510744.41</v>
      </c>
      <c r="E9" s="196">
        <v>0</v>
      </c>
      <c r="F9" s="196">
        <v>510744</v>
      </c>
      <c r="G9" s="196">
        <v>0</v>
      </c>
    </row>
    <row r="10" spans="1:7" x14ac:dyDescent="0.25">
      <c r="A10" s="195" t="s">
        <v>1017</v>
      </c>
      <c r="B10" s="195" t="s">
        <v>1018</v>
      </c>
      <c r="C10" s="194" t="s">
        <v>1019</v>
      </c>
      <c r="D10" s="196">
        <v>157353.16</v>
      </c>
      <c r="E10" s="196">
        <v>0</v>
      </c>
      <c r="F10" s="196">
        <v>157353</v>
      </c>
      <c r="G10" s="196">
        <v>0</v>
      </c>
    </row>
    <row r="11" spans="1:7" x14ac:dyDescent="0.25">
      <c r="A11" s="195">
        <v>2</v>
      </c>
      <c r="B11" s="195" t="s">
        <v>1020</v>
      </c>
      <c r="C11" s="194" t="s">
        <v>1021</v>
      </c>
      <c r="D11" s="196">
        <v>353391.25</v>
      </c>
      <c r="E11" s="196">
        <v>0</v>
      </c>
      <c r="F11" s="196">
        <v>353391</v>
      </c>
      <c r="G11" s="196">
        <v>0</v>
      </c>
    </row>
    <row r="12" spans="1:7" x14ac:dyDescent="0.25">
      <c r="A12" s="195" t="s">
        <v>1001</v>
      </c>
      <c r="B12" s="195" t="s">
        <v>1022</v>
      </c>
      <c r="C12" s="194" t="s">
        <v>1023</v>
      </c>
      <c r="D12" s="196">
        <v>905482.09</v>
      </c>
      <c r="E12" s="196">
        <v>0</v>
      </c>
      <c r="F12" s="196">
        <v>905482</v>
      </c>
      <c r="G12" s="196">
        <v>0</v>
      </c>
    </row>
    <row r="13" spans="1:7" x14ac:dyDescent="0.25">
      <c r="A13" s="195" t="s">
        <v>1024</v>
      </c>
      <c r="B13" s="195" t="s">
        <v>1025</v>
      </c>
      <c r="C13" s="194" t="s">
        <v>1026</v>
      </c>
      <c r="D13" s="196">
        <v>553898.41</v>
      </c>
      <c r="E13" s="196">
        <v>0</v>
      </c>
      <c r="F13" s="196">
        <v>553899</v>
      </c>
      <c r="G13" s="196">
        <v>0</v>
      </c>
    </row>
    <row r="14" spans="1:7" x14ac:dyDescent="0.25">
      <c r="A14" s="195" t="s">
        <v>1027</v>
      </c>
      <c r="B14" s="195" t="s">
        <v>1028</v>
      </c>
      <c r="C14" s="194" t="s">
        <v>1029</v>
      </c>
      <c r="D14" s="196">
        <v>399957.55</v>
      </c>
      <c r="E14" s="196">
        <v>0</v>
      </c>
      <c r="F14" s="196">
        <v>399958</v>
      </c>
      <c r="G14" s="196">
        <v>0</v>
      </c>
    </row>
    <row r="15" spans="1:7" x14ac:dyDescent="0.25">
      <c r="A15" s="195">
        <v>2</v>
      </c>
      <c r="B15" s="195" t="s">
        <v>1030</v>
      </c>
      <c r="C15" s="194" t="s">
        <v>1031</v>
      </c>
      <c r="D15" s="196">
        <v>0</v>
      </c>
      <c r="E15" s="196">
        <v>0</v>
      </c>
      <c r="F15" s="196">
        <v>0</v>
      </c>
      <c r="G15" s="196">
        <v>0</v>
      </c>
    </row>
    <row r="16" spans="1:7" x14ac:dyDescent="0.25">
      <c r="A16" s="195">
        <v>3</v>
      </c>
      <c r="B16" s="195" t="s">
        <v>1032</v>
      </c>
      <c r="C16" s="194" t="s">
        <v>1033</v>
      </c>
      <c r="D16" s="196">
        <v>138922.71</v>
      </c>
      <c r="E16" s="196">
        <v>0</v>
      </c>
      <c r="F16" s="196">
        <v>138923</v>
      </c>
      <c r="G16" s="196">
        <v>0</v>
      </c>
    </row>
    <row r="17" spans="1:7" x14ac:dyDescent="0.25">
      <c r="A17" s="195">
        <v>4</v>
      </c>
      <c r="B17" s="195" t="s">
        <v>1034</v>
      </c>
      <c r="C17" s="194" t="s">
        <v>1035</v>
      </c>
      <c r="D17" s="196">
        <v>15018.15</v>
      </c>
      <c r="E17" s="196">
        <v>0</v>
      </c>
      <c r="F17" s="196">
        <v>15018</v>
      </c>
      <c r="G17" s="196">
        <v>0</v>
      </c>
    </row>
    <row r="18" spans="1:7" x14ac:dyDescent="0.25">
      <c r="A18" s="195" t="s">
        <v>1036</v>
      </c>
      <c r="B18" s="195" t="s">
        <v>1037</v>
      </c>
      <c r="C18" s="194" t="s">
        <v>1038</v>
      </c>
      <c r="D18" s="196">
        <v>19296.580000000002</v>
      </c>
      <c r="E18" s="196">
        <v>0</v>
      </c>
      <c r="F18" s="196">
        <v>19297</v>
      </c>
      <c r="G18" s="196">
        <v>0</v>
      </c>
    </row>
    <row r="19" spans="1:7" x14ac:dyDescent="0.25">
      <c r="A19" s="195" t="s">
        <v>1039</v>
      </c>
      <c r="B19" s="195" t="s">
        <v>1040</v>
      </c>
      <c r="C19" s="194" t="s">
        <v>1041</v>
      </c>
      <c r="D19" s="196">
        <v>191298.27</v>
      </c>
      <c r="E19" s="196">
        <v>0</v>
      </c>
      <c r="F19" s="196">
        <v>191298</v>
      </c>
      <c r="G19" s="196">
        <v>0</v>
      </c>
    </row>
    <row r="20" spans="1:7" x14ac:dyDescent="0.25">
      <c r="A20" s="195" t="s">
        <v>1042</v>
      </c>
      <c r="B20" s="195" t="s">
        <v>1043</v>
      </c>
      <c r="C20" s="194" t="s">
        <v>1044</v>
      </c>
      <c r="D20" s="196">
        <v>8082.04</v>
      </c>
      <c r="E20" s="196">
        <v>0</v>
      </c>
      <c r="F20" s="196">
        <v>8082</v>
      </c>
      <c r="G20" s="196">
        <v>0</v>
      </c>
    </row>
    <row r="21" spans="1:7" x14ac:dyDescent="0.25">
      <c r="A21" s="195" t="s">
        <v>1045</v>
      </c>
      <c r="B21" s="195" t="s">
        <v>1046</v>
      </c>
      <c r="C21" s="194" t="s">
        <v>1047</v>
      </c>
      <c r="D21" s="196">
        <v>0</v>
      </c>
      <c r="E21" s="196">
        <v>0</v>
      </c>
      <c r="F21" s="196">
        <v>0</v>
      </c>
      <c r="G21" s="196">
        <v>0</v>
      </c>
    </row>
    <row r="22" spans="1:7" x14ac:dyDescent="0.25">
      <c r="A22" s="195" t="s">
        <v>1048</v>
      </c>
      <c r="B22" s="195" t="s">
        <v>1049</v>
      </c>
      <c r="C22" s="194" t="s">
        <v>1050</v>
      </c>
      <c r="D22" s="196">
        <v>5502.71</v>
      </c>
      <c r="E22" s="196">
        <v>0</v>
      </c>
      <c r="F22" s="196">
        <v>5503</v>
      </c>
      <c r="G22" s="196">
        <v>0</v>
      </c>
    </row>
    <row r="23" spans="1:7" x14ac:dyDescent="0.25">
      <c r="A23" s="195" t="s">
        <v>1051</v>
      </c>
      <c r="B23" s="195" t="s">
        <v>1052</v>
      </c>
      <c r="C23" s="194" t="s">
        <v>1053</v>
      </c>
      <c r="D23" s="196">
        <v>17037.14</v>
      </c>
      <c r="E23" s="196">
        <v>0</v>
      </c>
      <c r="F23" s="196">
        <v>17037</v>
      </c>
      <c r="G23" s="196">
        <v>0</v>
      </c>
    </row>
    <row r="24" spans="1:7" x14ac:dyDescent="0.25">
      <c r="A24" s="195" t="s">
        <v>1054</v>
      </c>
      <c r="B24" s="195" t="s">
        <v>1055</v>
      </c>
      <c r="C24" s="194" t="s">
        <v>1056</v>
      </c>
      <c r="D24" s="196">
        <v>2038.31</v>
      </c>
      <c r="E24" s="196">
        <v>0</v>
      </c>
      <c r="F24" s="196">
        <v>2038</v>
      </c>
      <c r="G24" s="196">
        <v>0</v>
      </c>
    </row>
    <row r="25" spans="1:7" x14ac:dyDescent="0.25">
      <c r="A25" s="195" t="s">
        <v>1057</v>
      </c>
      <c r="B25" s="195" t="s">
        <v>1058</v>
      </c>
      <c r="C25" s="194" t="s">
        <v>1059</v>
      </c>
      <c r="D25" s="196">
        <v>0</v>
      </c>
      <c r="E25" s="196">
        <v>0</v>
      </c>
      <c r="F25" s="196">
        <v>0</v>
      </c>
      <c r="G25" s="196">
        <v>0</v>
      </c>
    </row>
    <row r="26" spans="1:7" x14ac:dyDescent="0.25">
      <c r="A26" s="195" t="s">
        <v>995</v>
      </c>
      <c r="B26" s="195" t="s">
        <v>1060</v>
      </c>
      <c r="C26" s="194" t="s">
        <v>1061</v>
      </c>
      <c r="D26" s="196">
        <v>0</v>
      </c>
      <c r="E26" s="196">
        <v>0</v>
      </c>
      <c r="F26" s="196">
        <v>0</v>
      </c>
      <c r="G26" s="196">
        <v>0</v>
      </c>
    </row>
    <row r="27" spans="1:7" x14ac:dyDescent="0.25">
      <c r="A27" s="195" t="s">
        <v>1062</v>
      </c>
      <c r="B27" s="195" t="s">
        <v>1063</v>
      </c>
      <c r="C27" s="194" t="s">
        <v>1064</v>
      </c>
      <c r="D27" s="196">
        <v>158566.99</v>
      </c>
      <c r="E27" s="196">
        <v>0</v>
      </c>
      <c r="F27" s="196">
        <v>158566</v>
      </c>
      <c r="G27" s="196">
        <v>0</v>
      </c>
    </row>
    <row r="28" spans="1:7" x14ac:dyDescent="0.25">
      <c r="A28" s="195" t="s">
        <v>1065</v>
      </c>
      <c r="B28" s="195" t="s">
        <v>1066</v>
      </c>
      <c r="C28" s="194" t="s">
        <v>1067</v>
      </c>
      <c r="D28" s="196">
        <v>0</v>
      </c>
      <c r="E28" s="196">
        <v>0</v>
      </c>
      <c r="F28" s="196">
        <v>0</v>
      </c>
      <c r="G28" s="196">
        <v>0</v>
      </c>
    </row>
    <row r="29" spans="1:7" x14ac:dyDescent="0.25">
      <c r="A29" s="195" t="s">
        <v>1068</v>
      </c>
      <c r="B29" s="195" t="s">
        <v>1069</v>
      </c>
      <c r="C29" s="194" t="s">
        <v>1070</v>
      </c>
      <c r="D29" s="196">
        <v>0</v>
      </c>
      <c r="E29" s="196">
        <v>0</v>
      </c>
      <c r="F29" s="196">
        <v>0</v>
      </c>
      <c r="G29" s="196">
        <v>0</v>
      </c>
    </row>
    <row r="30" spans="1:7" x14ac:dyDescent="0.25">
      <c r="A30" s="195" t="s">
        <v>1071</v>
      </c>
      <c r="B30" s="195" t="s">
        <v>1072</v>
      </c>
      <c r="C30" s="194" t="s">
        <v>1073</v>
      </c>
      <c r="D30" s="196">
        <v>0</v>
      </c>
      <c r="E30" s="196">
        <v>0</v>
      </c>
      <c r="F30" s="196">
        <v>0</v>
      </c>
      <c r="G30" s="196">
        <v>0</v>
      </c>
    </row>
    <row r="31" spans="1:7" x14ac:dyDescent="0.25">
      <c r="A31" s="195" t="s">
        <v>1074</v>
      </c>
      <c r="B31" s="195" t="s">
        <v>1075</v>
      </c>
      <c r="C31" s="194" t="s">
        <v>1076</v>
      </c>
      <c r="D31" s="196">
        <v>0</v>
      </c>
      <c r="E31" s="196">
        <v>0</v>
      </c>
      <c r="F31" s="196">
        <v>0</v>
      </c>
      <c r="G31" s="196">
        <v>0</v>
      </c>
    </row>
    <row r="32" spans="1:7" x14ac:dyDescent="0.25">
      <c r="A32" s="195">
        <v>2</v>
      </c>
      <c r="B32" s="195" t="s">
        <v>1077</v>
      </c>
      <c r="C32" s="194" t="s">
        <v>1078</v>
      </c>
      <c r="D32" s="196">
        <v>0</v>
      </c>
      <c r="E32" s="196">
        <v>0</v>
      </c>
      <c r="F32" s="196">
        <v>0</v>
      </c>
      <c r="G32" s="196">
        <v>0</v>
      </c>
    </row>
    <row r="33" spans="1:7" x14ac:dyDescent="0.25">
      <c r="A33" s="195">
        <v>3</v>
      </c>
      <c r="B33" s="195" t="s">
        <v>1079</v>
      </c>
      <c r="C33" s="194" t="s">
        <v>1080</v>
      </c>
      <c r="D33" s="196">
        <v>0</v>
      </c>
      <c r="E33" s="196">
        <v>0</v>
      </c>
      <c r="F33" s="196">
        <v>0</v>
      </c>
      <c r="G33" s="196">
        <v>0</v>
      </c>
    </row>
    <row r="34" spans="1:7" x14ac:dyDescent="0.25">
      <c r="A34" s="195" t="s">
        <v>1081</v>
      </c>
      <c r="B34" s="195" t="s">
        <v>1082</v>
      </c>
      <c r="C34" s="194" t="s">
        <v>1083</v>
      </c>
      <c r="D34" s="196">
        <v>0</v>
      </c>
      <c r="E34" s="196">
        <v>0</v>
      </c>
      <c r="F34" s="196">
        <v>0</v>
      </c>
      <c r="G34" s="196">
        <v>0</v>
      </c>
    </row>
    <row r="35" spans="1:7" x14ac:dyDescent="0.25">
      <c r="A35" s="195" t="s">
        <v>1084</v>
      </c>
      <c r="B35" s="195" t="s">
        <v>1085</v>
      </c>
      <c r="C35" s="194" t="s">
        <v>1086</v>
      </c>
      <c r="D35" s="196">
        <v>0</v>
      </c>
      <c r="E35" s="196">
        <v>0</v>
      </c>
      <c r="F35" s="196">
        <v>0</v>
      </c>
      <c r="G35" s="196">
        <v>0</v>
      </c>
    </row>
    <row r="36" spans="1:7" x14ac:dyDescent="0.25">
      <c r="A36" s="195" t="s">
        <v>1087</v>
      </c>
      <c r="B36" s="195" t="s">
        <v>1088</v>
      </c>
      <c r="C36" s="194" t="s">
        <v>1089</v>
      </c>
      <c r="D36" s="196">
        <v>0</v>
      </c>
      <c r="E36" s="196">
        <v>0</v>
      </c>
      <c r="F36" s="196">
        <v>0</v>
      </c>
      <c r="G36" s="196">
        <v>0</v>
      </c>
    </row>
    <row r="37" spans="1:7" x14ac:dyDescent="0.25">
      <c r="A37" s="195" t="s">
        <v>1090</v>
      </c>
      <c r="B37" s="195" t="s">
        <v>1091</v>
      </c>
      <c r="C37" s="194" t="s">
        <v>1092</v>
      </c>
      <c r="D37" s="196">
        <v>0</v>
      </c>
      <c r="E37" s="196">
        <v>0</v>
      </c>
      <c r="F37" s="196">
        <v>0</v>
      </c>
      <c r="G37" s="196">
        <v>0</v>
      </c>
    </row>
    <row r="38" spans="1:7" x14ac:dyDescent="0.25">
      <c r="A38" s="195" t="s">
        <v>1093</v>
      </c>
      <c r="B38" s="195" t="s">
        <v>1094</v>
      </c>
      <c r="C38" s="194" t="s">
        <v>1095</v>
      </c>
      <c r="D38" s="196">
        <v>0</v>
      </c>
      <c r="E38" s="196">
        <v>0</v>
      </c>
      <c r="F38" s="196">
        <v>0</v>
      </c>
      <c r="G38" s="196">
        <v>0</v>
      </c>
    </row>
    <row r="39" spans="1:7" x14ac:dyDescent="0.25">
      <c r="A39" s="195" t="s">
        <v>1096</v>
      </c>
      <c r="B39" s="195" t="s">
        <v>1097</v>
      </c>
      <c r="C39" s="194" t="s">
        <v>1098</v>
      </c>
      <c r="D39" s="196">
        <v>0.69</v>
      </c>
      <c r="E39" s="196">
        <v>0</v>
      </c>
      <c r="F39" s="196">
        <v>1</v>
      </c>
      <c r="G39" s="196">
        <v>0</v>
      </c>
    </row>
    <row r="40" spans="1:7" x14ac:dyDescent="0.25">
      <c r="A40" s="195" t="s">
        <v>1099</v>
      </c>
      <c r="B40" s="195" t="s">
        <v>1100</v>
      </c>
      <c r="C40" s="194" t="s">
        <v>1101</v>
      </c>
      <c r="D40" s="196">
        <v>46949.32</v>
      </c>
      <c r="E40" s="196">
        <v>0</v>
      </c>
      <c r="F40" s="196">
        <v>46949</v>
      </c>
      <c r="G40" s="196">
        <v>0</v>
      </c>
    </row>
    <row r="41" spans="1:7" x14ac:dyDescent="0.25">
      <c r="A41" s="195" t="s">
        <v>1102</v>
      </c>
      <c r="B41" s="195" t="s">
        <v>1103</v>
      </c>
      <c r="C41" s="194" t="s">
        <v>1104</v>
      </c>
      <c r="D41" s="196">
        <v>75.62</v>
      </c>
      <c r="E41" s="196">
        <v>0</v>
      </c>
      <c r="F41" s="196">
        <v>76</v>
      </c>
      <c r="G41" s="196">
        <v>0</v>
      </c>
    </row>
    <row r="42" spans="1:7" x14ac:dyDescent="0.25">
      <c r="A42" s="195" t="s">
        <v>1105</v>
      </c>
      <c r="B42" s="195" t="s">
        <v>1106</v>
      </c>
      <c r="C42" s="194" t="s">
        <v>1107</v>
      </c>
      <c r="D42" s="196">
        <v>322.04000000000002</v>
      </c>
      <c r="E42" s="196">
        <v>0</v>
      </c>
      <c r="F42" s="196">
        <v>322</v>
      </c>
      <c r="G42" s="196">
        <v>0</v>
      </c>
    </row>
    <row r="43" spans="1:7" x14ac:dyDescent="0.25">
      <c r="A43" s="195" t="s">
        <v>1108</v>
      </c>
      <c r="B43" s="195" t="s">
        <v>1109</v>
      </c>
      <c r="C43" s="194" t="s">
        <v>1110</v>
      </c>
      <c r="D43" s="196">
        <v>5.85</v>
      </c>
      <c r="E43" s="196">
        <v>0</v>
      </c>
      <c r="F43" s="196">
        <v>6</v>
      </c>
      <c r="G43" s="196">
        <v>0</v>
      </c>
    </row>
    <row r="44" spans="1:7" x14ac:dyDescent="0.25">
      <c r="A44" s="195" t="s">
        <v>1111</v>
      </c>
      <c r="B44" s="195" t="s">
        <v>1112</v>
      </c>
      <c r="C44" s="194" t="s">
        <v>1113</v>
      </c>
      <c r="D44" s="196">
        <v>26020.92</v>
      </c>
      <c r="E44" s="196">
        <v>0</v>
      </c>
      <c r="F44" s="196">
        <v>26021</v>
      </c>
      <c r="G44" s="196">
        <v>0</v>
      </c>
    </row>
    <row r="45" spans="1:7" x14ac:dyDescent="0.25">
      <c r="A45" s="195" t="s">
        <v>1114</v>
      </c>
      <c r="B45" s="195" t="s">
        <v>1115</v>
      </c>
      <c r="C45" s="194" t="s">
        <v>1116</v>
      </c>
      <c r="D45" s="196">
        <v>0</v>
      </c>
      <c r="E45" s="196">
        <v>0</v>
      </c>
      <c r="F45" s="196">
        <v>0</v>
      </c>
      <c r="G45" s="196">
        <v>0</v>
      </c>
    </row>
    <row r="46" spans="1:7" x14ac:dyDescent="0.25">
      <c r="A46" s="195" t="s">
        <v>1117</v>
      </c>
      <c r="B46" s="195" t="s">
        <v>1118</v>
      </c>
      <c r="C46" s="194" t="s">
        <v>1119</v>
      </c>
      <c r="D46" s="196">
        <v>0</v>
      </c>
      <c r="E46" s="196">
        <v>0</v>
      </c>
      <c r="F46" s="196">
        <v>0</v>
      </c>
      <c r="G46" s="196">
        <v>0</v>
      </c>
    </row>
    <row r="47" spans="1:7" x14ac:dyDescent="0.25">
      <c r="A47" s="195" t="s">
        <v>1062</v>
      </c>
      <c r="B47" s="195" t="s">
        <v>1120</v>
      </c>
      <c r="C47" s="194" t="s">
        <v>1121</v>
      </c>
      <c r="D47" s="196">
        <v>-73210.12</v>
      </c>
      <c r="E47" s="196">
        <v>0</v>
      </c>
      <c r="F47" s="196">
        <v>-73209</v>
      </c>
      <c r="G47" s="196">
        <v>0</v>
      </c>
    </row>
    <row r="48" spans="1:7" x14ac:dyDescent="0.25">
      <c r="A48" s="195" t="s">
        <v>1122</v>
      </c>
      <c r="B48" s="195" t="s">
        <v>1123</v>
      </c>
      <c r="C48" s="194" t="s">
        <v>1124</v>
      </c>
      <c r="D48" s="196">
        <v>85356.87</v>
      </c>
      <c r="E48" s="196">
        <v>0</v>
      </c>
      <c r="F48" s="196">
        <v>85357</v>
      </c>
      <c r="G48" s="196">
        <v>0</v>
      </c>
    </row>
    <row r="49" spans="1:7" x14ac:dyDescent="0.25">
      <c r="A49" s="195" t="s">
        <v>1125</v>
      </c>
      <c r="B49" s="195" t="s">
        <v>1126</v>
      </c>
      <c r="C49" s="194" t="s">
        <v>1127</v>
      </c>
      <c r="D49" s="196">
        <v>20828.099999999999</v>
      </c>
      <c r="E49" s="196">
        <v>0</v>
      </c>
      <c r="F49" s="196">
        <v>20828</v>
      </c>
      <c r="G49" s="196">
        <v>0</v>
      </c>
    </row>
    <row r="50" spans="1:7" x14ac:dyDescent="0.25">
      <c r="A50" s="195" t="s">
        <v>1128</v>
      </c>
      <c r="B50" s="195" t="s">
        <v>1129</v>
      </c>
      <c r="C50" s="194" t="s">
        <v>1130</v>
      </c>
      <c r="D50" s="196">
        <v>13398.45</v>
      </c>
      <c r="E50" s="196">
        <v>0</v>
      </c>
      <c r="F50" s="196">
        <v>13398</v>
      </c>
      <c r="G50" s="196">
        <v>0</v>
      </c>
    </row>
    <row r="51" spans="1:7" x14ac:dyDescent="0.25">
      <c r="A51" s="195">
        <v>2</v>
      </c>
      <c r="B51" s="195" t="s">
        <v>1131</v>
      </c>
      <c r="C51" s="194" t="s">
        <v>1132</v>
      </c>
      <c r="D51" s="196">
        <v>7429.65</v>
      </c>
      <c r="E51" s="196">
        <v>0</v>
      </c>
      <c r="F51" s="196">
        <v>7430</v>
      </c>
      <c r="G51" s="196">
        <v>0</v>
      </c>
    </row>
    <row r="52" spans="1:7" x14ac:dyDescent="0.25">
      <c r="A52" s="195" t="s">
        <v>1122</v>
      </c>
      <c r="B52" s="195" t="s">
        <v>1133</v>
      </c>
      <c r="C52" s="194" t="s">
        <v>1134</v>
      </c>
      <c r="D52" s="196">
        <v>64528.77</v>
      </c>
      <c r="E52" s="196">
        <v>0</v>
      </c>
      <c r="F52" s="196">
        <v>64529</v>
      </c>
      <c r="G52" s="196">
        <v>0</v>
      </c>
    </row>
    <row r="53" spans="1:7" x14ac:dyDescent="0.25">
      <c r="A53" s="195" t="s">
        <v>1135</v>
      </c>
      <c r="B53" s="195" t="s">
        <v>1136</v>
      </c>
      <c r="C53" s="194" t="s">
        <v>1137</v>
      </c>
      <c r="D53" s="196">
        <v>0</v>
      </c>
      <c r="E53" s="196">
        <v>0</v>
      </c>
      <c r="F53" s="196">
        <v>0</v>
      </c>
      <c r="G53" s="196">
        <v>0</v>
      </c>
    </row>
    <row r="54" spans="1:7" x14ac:dyDescent="0.25">
      <c r="A54" s="195" t="s">
        <v>1138</v>
      </c>
      <c r="B54" s="195" t="s">
        <v>1139</v>
      </c>
      <c r="C54" s="194" t="s">
        <v>1140</v>
      </c>
      <c r="D54" s="196">
        <v>0</v>
      </c>
      <c r="E54" s="196">
        <v>0</v>
      </c>
      <c r="F54" s="196">
        <v>0</v>
      </c>
      <c r="G54" s="196">
        <v>0</v>
      </c>
    </row>
    <row r="55" spans="1:7" x14ac:dyDescent="0.25">
      <c r="A55" s="195" t="s">
        <v>1062</v>
      </c>
      <c r="B55" s="195" t="s">
        <v>1141</v>
      </c>
      <c r="C55" s="194" t="s">
        <v>1142</v>
      </c>
      <c r="D55" s="196">
        <v>0</v>
      </c>
      <c r="E55" s="196">
        <v>0</v>
      </c>
      <c r="F55" s="196">
        <v>0</v>
      </c>
      <c r="G55" s="196">
        <v>0</v>
      </c>
    </row>
    <row r="56" spans="1:7" x14ac:dyDescent="0.25">
      <c r="A56" s="195" t="s">
        <v>1143</v>
      </c>
      <c r="B56" s="195" t="s">
        <v>1144</v>
      </c>
      <c r="C56" s="194" t="s">
        <v>1145</v>
      </c>
      <c r="D56" s="196">
        <v>0</v>
      </c>
      <c r="E56" s="196">
        <v>0</v>
      </c>
      <c r="F56" s="196">
        <v>0</v>
      </c>
      <c r="G56" s="196">
        <v>0</v>
      </c>
    </row>
    <row r="57" spans="1:7" x14ac:dyDescent="0.25">
      <c r="A57" s="195" t="s">
        <v>1146</v>
      </c>
      <c r="B57" s="195" t="s">
        <v>1147</v>
      </c>
      <c r="C57" s="194" t="s">
        <v>1148</v>
      </c>
      <c r="D57" s="196">
        <v>0</v>
      </c>
      <c r="E57" s="196">
        <v>0</v>
      </c>
      <c r="F57" s="196">
        <v>0</v>
      </c>
      <c r="G57" s="196">
        <v>0</v>
      </c>
    </row>
    <row r="58" spans="1:7" x14ac:dyDescent="0.25">
      <c r="A58" s="195">
        <v>2</v>
      </c>
      <c r="B58" s="195" t="s">
        <v>1149</v>
      </c>
      <c r="C58" s="194" t="s">
        <v>1150</v>
      </c>
      <c r="D58" s="196">
        <v>0</v>
      </c>
      <c r="E58" s="196">
        <v>0</v>
      </c>
      <c r="F58" s="196">
        <v>0</v>
      </c>
      <c r="G58" s="196">
        <v>0</v>
      </c>
    </row>
    <row r="59" spans="1:7" x14ac:dyDescent="0.25">
      <c r="A59" s="195" t="s">
        <v>1062</v>
      </c>
      <c r="B59" s="195" t="s">
        <v>1151</v>
      </c>
      <c r="C59" s="194" t="s">
        <v>1152</v>
      </c>
      <c r="D59" s="196">
        <v>0</v>
      </c>
      <c r="E59" s="196">
        <v>0</v>
      </c>
      <c r="F59" s="196">
        <v>0</v>
      </c>
      <c r="G59" s="196">
        <v>0</v>
      </c>
    </row>
    <row r="60" spans="1:7" x14ac:dyDescent="0.25">
      <c r="A60" s="195" t="s">
        <v>1153</v>
      </c>
      <c r="B60" s="195" t="s">
        <v>1154</v>
      </c>
      <c r="C60" s="194" t="s">
        <v>1155</v>
      </c>
      <c r="D60" s="196">
        <v>85356.87</v>
      </c>
      <c r="E60" s="196">
        <v>0</v>
      </c>
      <c r="F60" s="196">
        <v>85357</v>
      </c>
      <c r="G60" s="196">
        <v>0</v>
      </c>
    </row>
    <row r="61" spans="1:7" x14ac:dyDescent="0.25">
      <c r="A61" s="195" t="s">
        <v>1057</v>
      </c>
      <c r="B61" s="195" t="s">
        <v>1156</v>
      </c>
      <c r="C61" s="194" t="s">
        <v>1157</v>
      </c>
      <c r="D61" s="196">
        <v>0</v>
      </c>
      <c r="E61" s="196">
        <v>0</v>
      </c>
      <c r="F61" s="196">
        <v>0</v>
      </c>
      <c r="G61" s="196">
        <v>0</v>
      </c>
    </row>
    <row r="62" spans="1:7" x14ac:dyDescent="0.25">
      <c r="A62" s="195" t="s">
        <v>1153</v>
      </c>
      <c r="B62" s="195" t="s">
        <v>1158</v>
      </c>
      <c r="C62" s="194" t="s">
        <v>1159</v>
      </c>
      <c r="D62" s="196">
        <v>64528.77</v>
      </c>
      <c r="E62" s="196">
        <v>0</v>
      </c>
      <c r="F62" s="196">
        <v>64529</v>
      </c>
      <c r="G62" s="196">
        <v>0</v>
      </c>
    </row>
  </sheetData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68"/>
  <sheetViews>
    <sheetView topLeftCell="A43" workbookViewId="0">
      <selection activeCell="D70" sqref="D70"/>
    </sheetView>
  </sheetViews>
  <sheetFormatPr defaultRowHeight="15" x14ac:dyDescent="0.25"/>
  <cols>
    <col min="1" max="1" width="8.28515625" style="197" bestFit="1" customWidth="1"/>
    <col min="2" max="2" width="63.5703125" style="197" bestFit="1" customWidth="1"/>
    <col min="3" max="3" width="4.42578125" style="198" bestFit="1" customWidth="1"/>
    <col min="4" max="11" width="15.28515625" style="199" bestFit="1" customWidth="1"/>
    <col min="12" max="16384" width="9.140625" style="190"/>
  </cols>
  <sheetData>
    <row r="1" spans="1:11" ht="22.5" x14ac:dyDescent="0.25">
      <c r="A1" s="201" t="s">
        <v>503</v>
      </c>
      <c r="B1" s="201" t="s">
        <v>504</v>
      </c>
      <c r="C1" s="200" t="s">
        <v>526</v>
      </c>
      <c r="D1" s="202" t="s">
        <v>529</v>
      </c>
      <c r="E1" s="202" t="s">
        <v>530</v>
      </c>
      <c r="F1" s="202" t="s">
        <v>531</v>
      </c>
      <c r="G1" s="202" t="s">
        <v>532</v>
      </c>
      <c r="H1" s="202" t="s">
        <v>505</v>
      </c>
      <c r="I1" s="202" t="s">
        <v>506</v>
      </c>
      <c r="J1" s="202" t="s">
        <v>507</v>
      </c>
      <c r="K1" s="202" t="s">
        <v>508</v>
      </c>
    </row>
    <row r="2" spans="1:11" x14ac:dyDescent="0.25">
      <c r="A2" s="192"/>
      <c r="B2" s="192" t="s">
        <v>1160</v>
      </c>
      <c r="C2" s="191" t="s">
        <v>1161</v>
      </c>
      <c r="D2" s="193">
        <v>4198816.57</v>
      </c>
      <c r="E2" s="193">
        <v>1578147.45</v>
      </c>
      <c r="F2" s="193">
        <v>2620669.12</v>
      </c>
      <c r="G2" s="193">
        <v>2811007.69</v>
      </c>
      <c r="H2" s="193">
        <v>4198815</v>
      </c>
      <c r="I2" s="193">
        <v>1578148</v>
      </c>
      <c r="J2" s="193">
        <v>2620667</v>
      </c>
      <c r="K2" s="193">
        <v>2811007</v>
      </c>
    </row>
    <row r="3" spans="1:11" x14ac:dyDescent="0.25">
      <c r="A3" s="192" t="s">
        <v>998</v>
      </c>
      <c r="B3" s="192" t="s">
        <v>1162</v>
      </c>
      <c r="C3" s="191" t="s">
        <v>1163</v>
      </c>
      <c r="D3" s="193">
        <v>2679520.89</v>
      </c>
      <c r="E3" s="193">
        <v>1478424.99</v>
      </c>
      <c r="F3" s="193">
        <v>1201095.8999999999</v>
      </c>
      <c r="G3" s="193">
        <v>1340835.46</v>
      </c>
      <c r="H3" s="193">
        <v>2679520</v>
      </c>
      <c r="I3" s="193">
        <v>1478426</v>
      </c>
      <c r="J3" s="193">
        <v>1201094</v>
      </c>
      <c r="K3" s="193">
        <v>1340835</v>
      </c>
    </row>
    <row r="4" spans="1:11" x14ac:dyDescent="0.25">
      <c r="A4" s="192" t="s">
        <v>1164</v>
      </c>
      <c r="B4" s="192" t="s">
        <v>1165</v>
      </c>
      <c r="C4" s="191" t="s">
        <v>1166</v>
      </c>
      <c r="D4" s="193">
        <v>14846.87</v>
      </c>
      <c r="E4" s="193">
        <v>14846.87</v>
      </c>
      <c r="F4" s="193">
        <v>0</v>
      </c>
      <c r="G4" s="193">
        <v>0</v>
      </c>
      <c r="H4" s="193">
        <v>14847</v>
      </c>
      <c r="I4" s="193">
        <v>14847</v>
      </c>
      <c r="J4" s="193">
        <v>0</v>
      </c>
      <c r="K4" s="193">
        <v>0</v>
      </c>
    </row>
    <row r="5" spans="1:11" x14ac:dyDescent="0.25">
      <c r="A5" s="192" t="s">
        <v>1167</v>
      </c>
      <c r="B5" s="192" t="s">
        <v>1168</v>
      </c>
      <c r="C5" s="191" t="s">
        <v>1169</v>
      </c>
      <c r="D5" s="193">
        <v>0</v>
      </c>
      <c r="E5" s="193">
        <v>0</v>
      </c>
      <c r="F5" s="193">
        <v>0</v>
      </c>
      <c r="G5" s="193">
        <v>0</v>
      </c>
      <c r="H5" s="193">
        <v>0</v>
      </c>
      <c r="I5" s="193">
        <v>0</v>
      </c>
      <c r="J5" s="193">
        <v>0</v>
      </c>
      <c r="K5" s="193">
        <v>0</v>
      </c>
    </row>
    <row r="6" spans="1:11" x14ac:dyDescent="0.25">
      <c r="A6" s="192">
        <v>2</v>
      </c>
      <c r="B6" s="192" t="s">
        <v>1170</v>
      </c>
      <c r="C6" s="191" t="s">
        <v>1171</v>
      </c>
      <c r="D6" s="193">
        <v>14846.87</v>
      </c>
      <c r="E6" s="193">
        <v>14846.87</v>
      </c>
      <c r="F6" s="193">
        <v>0</v>
      </c>
      <c r="G6" s="193">
        <v>0</v>
      </c>
      <c r="H6" s="193">
        <v>14847</v>
      </c>
      <c r="I6" s="193">
        <v>14847</v>
      </c>
      <c r="J6" s="193">
        <v>0</v>
      </c>
      <c r="K6" s="193">
        <v>0</v>
      </c>
    </row>
    <row r="7" spans="1:11" x14ac:dyDescent="0.25">
      <c r="A7" s="192">
        <v>3</v>
      </c>
      <c r="B7" s="192" t="s">
        <v>1172</v>
      </c>
      <c r="C7" s="191" t="s">
        <v>1173</v>
      </c>
      <c r="D7" s="193">
        <v>0</v>
      </c>
      <c r="E7" s="193">
        <v>0</v>
      </c>
      <c r="F7" s="193">
        <v>0</v>
      </c>
      <c r="G7" s="193">
        <v>0</v>
      </c>
      <c r="H7" s="193">
        <v>0</v>
      </c>
      <c r="I7" s="193">
        <v>0</v>
      </c>
      <c r="J7" s="193">
        <v>0</v>
      </c>
      <c r="K7" s="193">
        <v>0</v>
      </c>
    </row>
    <row r="8" spans="1:11" x14ac:dyDescent="0.25">
      <c r="A8" s="192">
        <v>4</v>
      </c>
      <c r="B8" s="192" t="s">
        <v>1174</v>
      </c>
      <c r="C8" s="191" t="s">
        <v>1175</v>
      </c>
      <c r="D8" s="193">
        <v>0</v>
      </c>
      <c r="E8" s="193">
        <v>0</v>
      </c>
      <c r="F8" s="193">
        <v>0</v>
      </c>
      <c r="G8" s="193">
        <v>0</v>
      </c>
      <c r="H8" s="193">
        <v>0</v>
      </c>
      <c r="I8" s="193">
        <v>0</v>
      </c>
      <c r="J8" s="193">
        <v>0</v>
      </c>
      <c r="K8" s="193">
        <v>0</v>
      </c>
    </row>
    <row r="9" spans="1:11" x14ac:dyDescent="0.25">
      <c r="A9" s="192">
        <v>5</v>
      </c>
      <c r="B9" s="192" t="s">
        <v>1176</v>
      </c>
      <c r="C9" s="191" t="s">
        <v>1177</v>
      </c>
      <c r="D9" s="193">
        <v>0</v>
      </c>
      <c r="E9" s="193">
        <v>0</v>
      </c>
      <c r="F9" s="193">
        <v>0</v>
      </c>
      <c r="G9" s="193">
        <v>0</v>
      </c>
      <c r="H9" s="193">
        <v>0</v>
      </c>
      <c r="I9" s="193">
        <v>0</v>
      </c>
      <c r="J9" s="193">
        <v>0</v>
      </c>
      <c r="K9" s="193">
        <v>0</v>
      </c>
    </row>
    <row r="10" spans="1:11" x14ac:dyDescent="0.25">
      <c r="A10" s="192">
        <v>6</v>
      </c>
      <c r="B10" s="192" t="s">
        <v>1178</v>
      </c>
      <c r="C10" s="191" t="s">
        <v>1179</v>
      </c>
      <c r="D10" s="193">
        <v>0</v>
      </c>
      <c r="E10" s="193">
        <v>0</v>
      </c>
      <c r="F10" s="193">
        <v>0</v>
      </c>
      <c r="G10" s="193">
        <v>0</v>
      </c>
      <c r="H10" s="193">
        <v>0</v>
      </c>
      <c r="I10" s="193">
        <v>0</v>
      </c>
      <c r="J10" s="193">
        <v>0</v>
      </c>
      <c r="K10" s="193">
        <v>0</v>
      </c>
    </row>
    <row r="11" spans="1:11" x14ac:dyDescent="0.25">
      <c r="A11" s="192">
        <v>7</v>
      </c>
      <c r="B11" s="192" t="s">
        <v>1180</v>
      </c>
      <c r="C11" s="191" t="s">
        <v>1181</v>
      </c>
      <c r="D11" s="193">
        <v>0</v>
      </c>
      <c r="E11" s="193">
        <v>0</v>
      </c>
      <c r="F11" s="193">
        <v>0</v>
      </c>
      <c r="G11" s="193">
        <v>0</v>
      </c>
      <c r="H11" s="193">
        <v>0</v>
      </c>
      <c r="I11" s="193">
        <v>0</v>
      </c>
      <c r="J11" s="193">
        <v>0</v>
      </c>
      <c r="K11" s="193">
        <v>0</v>
      </c>
    </row>
    <row r="12" spans="1:11" x14ac:dyDescent="0.25">
      <c r="A12" s="192" t="s">
        <v>1182</v>
      </c>
      <c r="B12" s="192" t="s">
        <v>1183</v>
      </c>
      <c r="C12" s="191" t="s">
        <v>1184</v>
      </c>
      <c r="D12" s="193">
        <v>2664674.02</v>
      </c>
      <c r="E12" s="193">
        <v>1463578.12</v>
      </c>
      <c r="F12" s="193">
        <v>1201095.8999999999</v>
      </c>
      <c r="G12" s="193">
        <v>1340835.46</v>
      </c>
      <c r="H12" s="193">
        <v>2664673</v>
      </c>
      <c r="I12" s="193">
        <v>1463579</v>
      </c>
      <c r="J12" s="193">
        <v>1201094</v>
      </c>
      <c r="K12" s="193">
        <v>1340835</v>
      </c>
    </row>
    <row r="13" spans="1:11" x14ac:dyDescent="0.25">
      <c r="A13" s="192" t="s">
        <v>1185</v>
      </c>
      <c r="B13" s="192" t="s">
        <v>1186</v>
      </c>
      <c r="C13" s="191" t="s">
        <v>1187</v>
      </c>
      <c r="D13" s="193">
        <v>103220.21</v>
      </c>
      <c r="E13" s="193">
        <v>0</v>
      </c>
      <c r="F13" s="193">
        <v>103220.21</v>
      </c>
      <c r="G13" s="193">
        <v>103220.21</v>
      </c>
      <c r="H13" s="193">
        <v>103220</v>
      </c>
      <c r="I13" s="193">
        <v>0</v>
      </c>
      <c r="J13" s="193">
        <v>103220</v>
      </c>
      <c r="K13" s="193">
        <v>103220</v>
      </c>
    </row>
    <row r="14" spans="1:11" x14ac:dyDescent="0.25">
      <c r="A14" s="192">
        <v>2</v>
      </c>
      <c r="B14" s="192" t="s">
        <v>1188</v>
      </c>
      <c r="C14" s="191" t="s">
        <v>875</v>
      </c>
      <c r="D14" s="193">
        <v>1707272.37</v>
      </c>
      <c r="E14" s="193">
        <v>778171.59</v>
      </c>
      <c r="F14" s="193">
        <v>929100.78</v>
      </c>
      <c r="G14" s="193">
        <v>1034433.78</v>
      </c>
      <c r="H14" s="193">
        <v>1707272</v>
      </c>
      <c r="I14" s="193">
        <v>778172</v>
      </c>
      <c r="J14" s="193">
        <v>929100</v>
      </c>
      <c r="K14" s="193">
        <v>1034433</v>
      </c>
    </row>
    <row r="15" spans="1:11" x14ac:dyDescent="0.25">
      <c r="A15" s="192">
        <v>3</v>
      </c>
      <c r="B15" s="192" t="s">
        <v>1189</v>
      </c>
      <c r="C15" s="191" t="s">
        <v>1190</v>
      </c>
      <c r="D15" s="193">
        <v>808871.08</v>
      </c>
      <c r="E15" s="193">
        <v>685406.53</v>
      </c>
      <c r="F15" s="193">
        <v>123464.55</v>
      </c>
      <c r="G15" s="193">
        <v>156263.89000000001</v>
      </c>
      <c r="H15" s="193">
        <v>808871</v>
      </c>
      <c r="I15" s="193">
        <v>685407</v>
      </c>
      <c r="J15" s="193">
        <v>123464</v>
      </c>
      <c r="K15" s="193">
        <v>156264</v>
      </c>
    </row>
    <row r="16" spans="1:11" x14ac:dyDescent="0.25">
      <c r="A16" s="192">
        <v>4</v>
      </c>
      <c r="B16" s="192" t="s">
        <v>1191</v>
      </c>
      <c r="C16" s="191" t="s">
        <v>1192</v>
      </c>
      <c r="D16" s="193">
        <v>0</v>
      </c>
      <c r="E16" s="193">
        <v>0</v>
      </c>
      <c r="F16" s="193">
        <v>0</v>
      </c>
      <c r="G16" s="193">
        <v>0</v>
      </c>
      <c r="H16" s="193">
        <v>0</v>
      </c>
      <c r="I16" s="193">
        <v>0</v>
      </c>
      <c r="J16" s="193">
        <v>0</v>
      </c>
      <c r="K16" s="193">
        <v>0</v>
      </c>
    </row>
    <row r="17" spans="1:11" x14ac:dyDescent="0.25">
      <c r="A17" s="192">
        <v>5</v>
      </c>
      <c r="B17" s="192" t="s">
        <v>1193</v>
      </c>
      <c r="C17" s="191" t="s">
        <v>1194</v>
      </c>
      <c r="D17" s="193">
        <v>0</v>
      </c>
      <c r="E17" s="193">
        <v>0</v>
      </c>
      <c r="F17" s="193">
        <v>0</v>
      </c>
      <c r="G17" s="193">
        <v>0</v>
      </c>
      <c r="H17" s="193">
        <v>0</v>
      </c>
      <c r="I17" s="193">
        <v>0</v>
      </c>
      <c r="J17" s="193">
        <v>0</v>
      </c>
      <c r="K17" s="193">
        <v>0</v>
      </c>
    </row>
    <row r="18" spans="1:11" x14ac:dyDescent="0.25">
      <c r="A18" s="192">
        <v>6</v>
      </c>
      <c r="B18" s="192" t="s">
        <v>1195</v>
      </c>
      <c r="C18" s="191" t="s">
        <v>1196</v>
      </c>
      <c r="D18" s="193">
        <v>0</v>
      </c>
      <c r="E18" s="193">
        <v>0</v>
      </c>
      <c r="F18" s="193">
        <v>0</v>
      </c>
      <c r="G18" s="193">
        <v>0</v>
      </c>
      <c r="H18" s="193">
        <v>0</v>
      </c>
      <c r="I18" s="193">
        <v>0</v>
      </c>
      <c r="J18" s="193">
        <v>0</v>
      </c>
      <c r="K18" s="193">
        <v>0</v>
      </c>
    </row>
    <row r="19" spans="1:11" x14ac:dyDescent="0.25">
      <c r="A19" s="192">
        <v>7</v>
      </c>
      <c r="B19" s="192" t="s">
        <v>1197</v>
      </c>
      <c r="C19" s="191" t="s">
        <v>1198</v>
      </c>
      <c r="D19" s="193">
        <v>45310.36</v>
      </c>
      <c r="E19" s="193">
        <v>0</v>
      </c>
      <c r="F19" s="193">
        <v>45310.36</v>
      </c>
      <c r="G19" s="193">
        <v>46917.58</v>
      </c>
      <c r="H19" s="193">
        <v>45310</v>
      </c>
      <c r="I19" s="193">
        <v>0</v>
      </c>
      <c r="J19" s="193">
        <v>45310</v>
      </c>
      <c r="K19" s="193">
        <v>46918</v>
      </c>
    </row>
    <row r="20" spans="1:11" x14ac:dyDescent="0.25">
      <c r="A20" s="192">
        <v>8</v>
      </c>
      <c r="B20" s="192" t="s">
        <v>1199</v>
      </c>
      <c r="C20" s="191" t="s">
        <v>1200</v>
      </c>
      <c r="D20" s="193">
        <v>0</v>
      </c>
      <c r="E20" s="193">
        <v>0</v>
      </c>
      <c r="F20" s="193">
        <v>0</v>
      </c>
      <c r="G20" s="193">
        <v>0</v>
      </c>
      <c r="H20" s="193">
        <v>0</v>
      </c>
      <c r="I20" s="193">
        <v>0</v>
      </c>
      <c r="J20" s="193">
        <v>0</v>
      </c>
      <c r="K20" s="193">
        <v>0</v>
      </c>
    </row>
    <row r="21" spans="1:11" x14ac:dyDescent="0.25">
      <c r="A21" s="192">
        <v>9</v>
      </c>
      <c r="B21" s="192" t="s">
        <v>1201</v>
      </c>
      <c r="C21" s="191" t="s">
        <v>1202</v>
      </c>
      <c r="D21" s="193">
        <v>0</v>
      </c>
      <c r="E21" s="193">
        <v>0</v>
      </c>
      <c r="F21" s="193">
        <v>0</v>
      </c>
      <c r="G21" s="193">
        <v>0</v>
      </c>
      <c r="H21" s="193">
        <v>0</v>
      </c>
      <c r="I21" s="193">
        <v>0</v>
      </c>
      <c r="J21" s="193">
        <v>0</v>
      </c>
      <c r="K21" s="193">
        <v>0</v>
      </c>
    </row>
    <row r="22" spans="1:11" x14ac:dyDescent="0.25">
      <c r="A22" s="192" t="s">
        <v>1203</v>
      </c>
      <c r="B22" s="192" t="s">
        <v>1204</v>
      </c>
      <c r="C22" s="191" t="s">
        <v>876</v>
      </c>
      <c r="D22" s="193">
        <v>0</v>
      </c>
      <c r="E22" s="193">
        <v>0</v>
      </c>
      <c r="F22" s="193">
        <v>0</v>
      </c>
      <c r="G22" s="193">
        <v>0</v>
      </c>
      <c r="H22" s="193">
        <v>0</v>
      </c>
      <c r="I22" s="193">
        <v>0</v>
      </c>
      <c r="J22" s="193">
        <v>0</v>
      </c>
      <c r="K22" s="193">
        <v>0</v>
      </c>
    </row>
    <row r="23" spans="1:11" x14ac:dyDescent="0.25">
      <c r="A23" s="192" t="s">
        <v>1205</v>
      </c>
      <c r="B23" s="192" t="s">
        <v>1206</v>
      </c>
      <c r="C23" s="191" t="s">
        <v>878</v>
      </c>
      <c r="D23" s="193">
        <v>0</v>
      </c>
      <c r="E23" s="193">
        <v>0</v>
      </c>
      <c r="F23" s="193">
        <v>0</v>
      </c>
      <c r="G23" s="193">
        <v>0</v>
      </c>
      <c r="H23" s="193">
        <v>0</v>
      </c>
      <c r="I23" s="193">
        <v>0</v>
      </c>
      <c r="J23" s="193">
        <v>0</v>
      </c>
      <c r="K23" s="193">
        <v>0</v>
      </c>
    </row>
    <row r="24" spans="1:11" x14ac:dyDescent="0.25">
      <c r="A24" s="192">
        <v>2</v>
      </c>
      <c r="B24" s="192" t="s">
        <v>1207</v>
      </c>
      <c r="C24" s="191" t="s">
        <v>1208</v>
      </c>
      <c r="D24" s="193">
        <v>0</v>
      </c>
      <c r="E24" s="193">
        <v>0</v>
      </c>
      <c r="F24" s="193">
        <v>0</v>
      </c>
      <c r="G24" s="193">
        <v>0</v>
      </c>
      <c r="H24" s="193">
        <v>0</v>
      </c>
      <c r="I24" s="193">
        <v>0</v>
      </c>
      <c r="J24" s="193">
        <v>0</v>
      </c>
      <c r="K24" s="193">
        <v>0</v>
      </c>
    </row>
    <row r="25" spans="1:11" x14ac:dyDescent="0.25">
      <c r="A25" s="192">
        <v>3</v>
      </c>
      <c r="B25" s="192" t="s">
        <v>1209</v>
      </c>
      <c r="C25" s="191" t="s">
        <v>1210</v>
      </c>
      <c r="D25" s="193">
        <v>0</v>
      </c>
      <c r="E25" s="193">
        <v>0</v>
      </c>
      <c r="F25" s="193">
        <v>0</v>
      </c>
      <c r="G25" s="193">
        <v>0</v>
      </c>
      <c r="H25" s="193">
        <v>0</v>
      </c>
      <c r="I25" s="193">
        <v>0</v>
      </c>
      <c r="J25" s="193">
        <v>0</v>
      </c>
      <c r="K25" s="193">
        <v>0</v>
      </c>
    </row>
    <row r="26" spans="1:11" x14ac:dyDescent="0.25">
      <c r="A26" s="192">
        <v>4</v>
      </c>
      <c r="B26" s="192" t="s">
        <v>1211</v>
      </c>
      <c r="C26" s="191" t="s">
        <v>1212</v>
      </c>
      <c r="D26" s="193">
        <v>0</v>
      </c>
      <c r="E26" s="193">
        <v>0</v>
      </c>
      <c r="F26" s="193">
        <v>0</v>
      </c>
      <c r="G26" s="193">
        <v>0</v>
      </c>
      <c r="H26" s="193">
        <v>0</v>
      </c>
      <c r="I26" s="193">
        <v>0</v>
      </c>
      <c r="J26" s="193">
        <v>0</v>
      </c>
      <c r="K26" s="193">
        <v>0</v>
      </c>
    </row>
    <row r="27" spans="1:11" x14ac:dyDescent="0.25">
      <c r="A27" s="192">
        <v>5</v>
      </c>
      <c r="B27" s="192" t="s">
        <v>1213</v>
      </c>
      <c r="C27" s="191" t="s">
        <v>1214</v>
      </c>
      <c r="D27" s="193">
        <v>0</v>
      </c>
      <c r="E27" s="193">
        <v>0</v>
      </c>
      <c r="F27" s="193">
        <v>0</v>
      </c>
      <c r="G27" s="193">
        <v>0</v>
      </c>
      <c r="H27" s="193">
        <v>0</v>
      </c>
      <c r="I27" s="193">
        <v>0</v>
      </c>
      <c r="J27" s="193">
        <v>0</v>
      </c>
      <c r="K27" s="193">
        <v>0</v>
      </c>
    </row>
    <row r="28" spans="1:11" x14ac:dyDescent="0.25">
      <c r="A28" s="192">
        <v>6</v>
      </c>
      <c r="B28" s="192" t="s">
        <v>1215</v>
      </c>
      <c r="C28" s="191" t="s">
        <v>1216</v>
      </c>
      <c r="D28" s="193">
        <v>0</v>
      </c>
      <c r="E28" s="193">
        <v>0</v>
      </c>
      <c r="F28" s="193">
        <v>0</v>
      </c>
      <c r="G28" s="193">
        <v>0</v>
      </c>
      <c r="H28" s="193">
        <v>0</v>
      </c>
      <c r="I28" s="193">
        <v>0</v>
      </c>
      <c r="J28" s="193">
        <v>0</v>
      </c>
      <c r="K28" s="193">
        <v>0</v>
      </c>
    </row>
    <row r="29" spans="1:11" x14ac:dyDescent="0.25">
      <c r="A29" s="192">
        <v>7</v>
      </c>
      <c r="B29" s="192" t="s">
        <v>1217</v>
      </c>
      <c r="C29" s="191" t="s">
        <v>1218</v>
      </c>
      <c r="D29" s="193">
        <v>0</v>
      </c>
      <c r="E29" s="193">
        <v>0</v>
      </c>
      <c r="F29" s="193">
        <v>0</v>
      </c>
      <c r="G29" s="193">
        <v>0</v>
      </c>
      <c r="H29" s="193">
        <v>0</v>
      </c>
      <c r="I29" s="193">
        <v>0</v>
      </c>
      <c r="J29" s="193">
        <v>0</v>
      </c>
      <c r="K29" s="193">
        <v>0</v>
      </c>
    </row>
    <row r="30" spans="1:11" x14ac:dyDescent="0.25">
      <c r="A30" s="192">
        <v>8</v>
      </c>
      <c r="B30" s="192" t="s">
        <v>1219</v>
      </c>
      <c r="C30" s="191" t="s">
        <v>1220</v>
      </c>
      <c r="D30" s="193">
        <v>0</v>
      </c>
      <c r="E30" s="193">
        <v>0</v>
      </c>
      <c r="F30" s="193">
        <v>0</v>
      </c>
      <c r="G30" s="193">
        <v>0</v>
      </c>
      <c r="H30" s="193">
        <v>0</v>
      </c>
      <c r="I30" s="193">
        <v>0</v>
      </c>
      <c r="J30" s="193">
        <v>0</v>
      </c>
      <c r="K30" s="193">
        <v>0</v>
      </c>
    </row>
    <row r="31" spans="1:11" x14ac:dyDescent="0.25">
      <c r="A31" s="192" t="s">
        <v>1014</v>
      </c>
      <c r="B31" s="192" t="s">
        <v>1221</v>
      </c>
      <c r="C31" s="191" t="s">
        <v>1222</v>
      </c>
      <c r="D31" s="193">
        <v>1514835.27</v>
      </c>
      <c r="E31" s="193">
        <v>99722.46</v>
      </c>
      <c r="F31" s="193">
        <v>1415112.81</v>
      </c>
      <c r="G31" s="193">
        <v>1465242.01</v>
      </c>
      <c r="H31" s="193">
        <v>1514835</v>
      </c>
      <c r="I31" s="193">
        <v>99722</v>
      </c>
      <c r="J31" s="193">
        <v>1415113</v>
      </c>
      <c r="K31" s="193">
        <v>1465242</v>
      </c>
    </row>
    <row r="32" spans="1:11" x14ac:dyDescent="0.25">
      <c r="A32" s="192" t="s">
        <v>1223</v>
      </c>
      <c r="B32" s="192" t="s">
        <v>1224</v>
      </c>
      <c r="C32" s="191" t="s">
        <v>880</v>
      </c>
      <c r="D32" s="193">
        <v>1201117.3500000001</v>
      </c>
      <c r="E32" s="193">
        <v>0</v>
      </c>
      <c r="F32" s="193">
        <v>1201117.3500000001</v>
      </c>
      <c r="G32" s="193">
        <v>1137429.32</v>
      </c>
      <c r="H32" s="193">
        <v>1201117</v>
      </c>
      <c r="I32" s="193">
        <v>0</v>
      </c>
      <c r="J32" s="193">
        <v>1201117</v>
      </c>
      <c r="K32" s="193">
        <v>1137429</v>
      </c>
    </row>
    <row r="33" spans="1:11" x14ac:dyDescent="0.25">
      <c r="A33" s="192" t="s">
        <v>1225</v>
      </c>
      <c r="B33" s="192" t="s">
        <v>1226</v>
      </c>
      <c r="C33" s="191" t="s">
        <v>1227</v>
      </c>
      <c r="D33" s="193">
        <v>7909.25</v>
      </c>
      <c r="E33" s="193">
        <v>0</v>
      </c>
      <c r="F33" s="193">
        <v>7909.25</v>
      </c>
      <c r="G33" s="193">
        <v>16697.21</v>
      </c>
      <c r="H33" s="193">
        <v>7909</v>
      </c>
      <c r="I33" s="193">
        <v>0</v>
      </c>
      <c r="J33" s="193">
        <v>7909</v>
      </c>
      <c r="K33" s="193">
        <v>16697</v>
      </c>
    </row>
    <row r="34" spans="1:11" x14ac:dyDescent="0.25">
      <c r="A34" s="192">
        <v>2</v>
      </c>
      <c r="B34" s="192" t="s">
        <v>1228</v>
      </c>
      <c r="C34" s="191" t="s">
        <v>1229</v>
      </c>
      <c r="D34" s="193">
        <v>0</v>
      </c>
      <c r="E34" s="193">
        <v>0</v>
      </c>
      <c r="F34" s="193">
        <v>0</v>
      </c>
      <c r="G34" s="193">
        <v>0</v>
      </c>
      <c r="H34" s="193">
        <v>0</v>
      </c>
      <c r="I34" s="193">
        <v>0</v>
      </c>
      <c r="J34" s="193">
        <v>0</v>
      </c>
      <c r="K34" s="193">
        <v>0</v>
      </c>
    </row>
    <row r="35" spans="1:11" x14ac:dyDescent="0.25">
      <c r="A35" s="192">
        <v>3</v>
      </c>
      <c r="B35" s="192" t="s">
        <v>1230</v>
      </c>
      <c r="C35" s="191" t="s">
        <v>1231</v>
      </c>
      <c r="D35" s="193">
        <v>0</v>
      </c>
      <c r="E35" s="193">
        <v>0</v>
      </c>
      <c r="F35" s="193">
        <v>0</v>
      </c>
      <c r="G35" s="193">
        <v>0</v>
      </c>
      <c r="H35" s="193">
        <v>0</v>
      </c>
      <c r="I35" s="193">
        <v>0</v>
      </c>
      <c r="J35" s="193">
        <v>0</v>
      </c>
      <c r="K35" s="193">
        <v>0</v>
      </c>
    </row>
    <row r="36" spans="1:11" x14ac:dyDescent="0.25">
      <c r="A36" s="192">
        <v>4</v>
      </c>
      <c r="B36" s="192" t="s">
        <v>1232</v>
      </c>
      <c r="C36" s="191" t="s">
        <v>1233</v>
      </c>
      <c r="D36" s="193">
        <v>0</v>
      </c>
      <c r="E36" s="193">
        <v>0</v>
      </c>
      <c r="F36" s="193">
        <v>0</v>
      </c>
      <c r="G36" s="193">
        <v>0</v>
      </c>
      <c r="H36" s="193">
        <v>0</v>
      </c>
      <c r="I36" s="193">
        <v>0</v>
      </c>
      <c r="J36" s="193">
        <v>0</v>
      </c>
      <c r="K36" s="193">
        <v>0</v>
      </c>
    </row>
    <row r="37" spans="1:11" x14ac:dyDescent="0.25">
      <c r="A37" s="192">
        <v>5</v>
      </c>
      <c r="B37" s="192" t="s">
        <v>1234</v>
      </c>
      <c r="C37" s="191" t="s">
        <v>1235</v>
      </c>
      <c r="D37" s="193">
        <v>1193208.1000000001</v>
      </c>
      <c r="E37" s="193">
        <v>0</v>
      </c>
      <c r="F37" s="193">
        <v>1193208.1000000001</v>
      </c>
      <c r="G37" s="193">
        <v>1120732.1100000001</v>
      </c>
      <c r="H37" s="193">
        <v>1193208</v>
      </c>
      <c r="I37" s="193">
        <v>0</v>
      </c>
      <c r="J37" s="193">
        <v>1193208</v>
      </c>
      <c r="K37" s="193">
        <v>1120732</v>
      </c>
    </row>
    <row r="38" spans="1:11" x14ac:dyDescent="0.25">
      <c r="A38" s="192">
        <v>6</v>
      </c>
      <c r="B38" s="192" t="s">
        <v>1236</v>
      </c>
      <c r="C38" s="191" t="s">
        <v>1237</v>
      </c>
      <c r="D38" s="193">
        <v>0</v>
      </c>
      <c r="E38" s="193">
        <v>0</v>
      </c>
      <c r="F38" s="193">
        <v>0</v>
      </c>
      <c r="G38" s="193">
        <v>0</v>
      </c>
      <c r="H38" s="193">
        <v>0</v>
      </c>
      <c r="I38" s="193">
        <v>0</v>
      </c>
      <c r="J38" s="193">
        <v>0</v>
      </c>
      <c r="K38" s="193">
        <v>0</v>
      </c>
    </row>
    <row r="39" spans="1:11" x14ac:dyDescent="0.25">
      <c r="A39" s="192" t="s">
        <v>1238</v>
      </c>
      <c r="B39" s="192" t="s">
        <v>1239</v>
      </c>
      <c r="C39" s="191" t="s">
        <v>1240</v>
      </c>
      <c r="D39" s="193">
        <v>0</v>
      </c>
      <c r="E39" s="193">
        <v>0</v>
      </c>
      <c r="F39" s="193">
        <v>0</v>
      </c>
      <c r="G39" s="193">
        <v>0</v>
      </c>
      <c r="H39" s="193">
        <v>0</v>
      </c>
      <c r="I39" s="193">
        <v>0</v>
      </c>
      <c r="J39" s="193">
        <v>0</v>
      </c>
      <c r="K39" s="193">
        <v>0</v>
      </c>
    </row>
    <row r="40" spans="1:11" x14ac:dyDescent="0.25">
      <c r="A40" s="192" t="s">
        <v>1241</v>
      </c>
      <c r="B40" s="192" t="s">
        <v>1242</v>
      </c>
      <c r="C40" s="191" t="s">
        <v>1243</v>
      </c>
      <c r="D40" s="193">
        <v>0</v>
      </c>
      <c r="E40" s="193">
        <v>0</v>
      </c>
      <c r="F40" s="193">
        <v>0</v>
      </c>
      <c r="G40" s="193">
        <v>0</v>
      </c>
      <c r="H40" s="193">
        <v>0</v>
      </c>
      <c r="I40" s="193">
        <v>0</v>
      </c>
      <c r="J40" s="193">
        <v>0</v>
      </c>
      <c r="K40" s="193">
        <v>0</v>
      </c>
    </row>
    <row r="41" spans="1:11" x14ac:dyDescent="0.25">
      <c r="A41" s="192">
        <v>2</v>
      </c>
      <c r="B41" s="192" t="s">
        <v>1244</v>
      </c>
      <c r="C41" s="191" t="s">
        <v>1245</v>
      </c>
      <c r="D41" s="193">
        <v>0</v>
      </c>
      <c r="E41" s="193">
        <v>0</v>
      </c>
      <c r="F41" s="193">
        <v>0</v>
      </c>
      <c r="G41" s="193">
        <v>0</v>
      </c>
      <c r="H41" s="193">
        <v>0</v>
      </c>
      <c r="I41" s="193">
        <v>0</v>
      </c>
      <c r="J41" s="193">
        <v>0</v>
      </c>
      <c r="K41" s="193">
        <v>0</v>
      </c>
    </row>
    <row r="42" spans="1:11" x14ac:dyDescent="0.25">
      <c r="A42" s="192">
        <v>3</v>
      </c>
      <c r="B42" s="192" t="s">
        <v>1246</v>
      </c>
      <c r="C42" s="191" t="s">
        <v>1247</v>
      </c>
      <c r="D42" s="193">
        <v>0</v>
      </c>
      <c r="E42" s="193">
        <v>0</v>
      </c>
      <c r="F42" s="193">
        <v>0</v>
      </c>
      <c r="G42" s="193">
        <v>0</v>
      </c>
      <c r="H42" s="193">
        <v>0</v>
      </c>
      <c r="I42" s="193">
        <v>0</v>
      </c>
      <c r="J42" s="193">
        <v>0</v>
      </c>
      <c r="K42" s="193">
        <v>0</v>
      </c>
    </row>
    <row r="43" spans="1:11" x14ac:dyDescent="0.25">
      <c r="A43" s="192">
        <v>4</v>
      </c>
      <c r="B43" s="192" t="s">
        <v>1248</v>
      </c>
      <c r="C43" s="191" t="s">
        <v>881</v>
      </c>
      <c r="D43" s="193">
        <v>0</v>
      </c>
      <c r="E43" s="193">
        <v>0</v>
      </c>
      <c r="F43" s="193">
        <v>0</v>
      </c>
      <c r="G43" s="193">
        <v>0</v>
      </c>
      <c r="H43" s="193">
        <v>0</v>
      </c>
      <c r="I43" s="193">
        <v>0</v>
      </c>
      <c r="J43" s="193">
        <v>0</v>
      </c>
      <c r="K43" s="193">
        <v>0</v>
      </c>
    </row>
    <row r="44" spans="1:11" x14ac:dyDescent="0.25">
      <c r="A44" s="192">
        <v>5</v>
      </c>
      <c r="B44" s="192" t="s">
        <v>1249</v>
      </c>
      <c r="C44" s="191" t="s">
        <v>1250</v>
      </c>
      <c r="D44" s="193">
        <v>0</v>
      </c>
      <c r="E44" s="193">
        <v>0</v>
      </c>
      <c r="F44" s="193">
        <v>0</v>
      </c>
      <c r="G44" s="193">
        <v>0</v>
      </c>
      <c r="H44" s="193">
        <v>0</v>
      </c>
      <c r="I44" s="193">
        <v>0</v>
      </c>
      <c r="J44" s="193">
        <v>0</v>
      </c>
      <c r="K44" s="193">
        <v>0</v>
      </c>
    </row>
    <row r="45" spans="1:11" x14ac:dyDescent="0.25">
      <c r="A45" s="192">
        <v>6</v>
      </c>
      <c r="B45" s="192" t="s">
        <v>1251</v>
      </c>
      <c r="C45" s="191" t="s">
        <v>1252</v>
      </c>
      <c r="D45" s="193">
        <v>0</v>
      </c>
      <c r="E45" s="193">
        <v>0</v>
      </c>
      <c r="F45" s="193">
        <v>0</v>
      </c>
      <c r="G45" s="193">
        <v>0</v>
      </c>
      <c r="H45" s="193">
        <v>0</v>
      </c>
      <c r="I45" s="193">
        <v>0</v>
      </c>
      <c r="J45" s="193">
        <v>0</v>
      </c>
      <c r="K45" s="193">
        <v>0</v>
      </c>
    </row>
    <row r="46" spans="1:11" x14ac:dyDescent="0.25">
      <c r="A46" s="192">
        <v>7</v>
      </c>
      <c r="B46" s="192" t="s">
        <v>1253</v>
      </c>
      <c r="C46" s="191" t="s">
        <v>1254</v>
      </c>
      <c r="D46" s="193">
        <v>0</v>
      </c>
      <c r="E46" s="193">
        <v>0</v>
      </c>
      <c r="F46" s="193">
        <v>0</v>
      </c>
      <c r="G46" s="193">
        <v>0</v>
      </c>
      <c r="H46" s="193">
        <v>0</v>
      </c>
      <c r="I46" s="193">
        <v>0</v>
      </c>
      <c r="J46" s="193">
        <v>0</v>
      </c>
      <c r="K46" s="193">
        <v>0</v>
      </c>
    </row>
    <row r="47" spans="1:11" x14ac:dyDescent="0.25">
      <c r="A47" s="192" t="s">
        <v>1255</v>
      </c>
      <c r="B47" s="192" t="s">
        <v>1256</v>
      </c>
      <c r="C47" s="191" t="s">
        <v>1257</v>
      </c>
      <c r="D47" s="193">
        <v>304574.2</v>
      </c>
      <c r="E47" s="193">
        <v>99722.46</v>
      </c>
      <c r="F47" s="193">
        <v>204851.74</v>
      </c>
      <c r="G47" s="193">
        <v>301170.52</v>
      </c>
      <c r="H47" s="193">
        <v>304574</v>
      </c>
      <c r="I47" s="193">
        <v>99722</v>
      </c>
      <c r="J47" s="193">
        <v>204852</v>
      </c>
      <c r="K47" s="193">
        <v>301171</v>
      </c>
    </row>
    <row r="48" spans="1:11" x14ac:dyDescent="0.25">
      <c r="A48" s="192" t="s">
        <v>1258</v>
      </c>
      <c r="B48" s="192" t="s">
        <v>1242</v>
      </c>
      <c r="C48" s="191" t="s">
        <v>1259</v>
      </c>
      <c r="D48" s="193">
        <v>298225.08</v>
      </c>
      <c r="E48" s="193">
        <v>99722.46</v>
      </c>
      <c r="F48" s="193">
        <v>198502.62</v>
      </c>
      <c r="G48" s="193">
        <v>234297.85</v>
      </c>
      <c r="H48" s="193">
        <v>298225</v>
      </c>
      <c r="I48" s="193">
        <v>99722</v>
      </c>
      <c r="J48" s="193">
        <v>198503</v>
      </c>
      <c r="K48" s="193">
        <v>234298</v>
      </c>
    </row>
    <row r="49" spans="1:11" x14ac:dyDescent="0.25">
      <c r="A49" s="192">
        <v>2</v>
      </c>
      <c r="B49" s="192" t="s">
        <v>1244</v>
      </c>
      <c r="C49" s="191" t="s">
        <v>1260</v>
      </c>
      <c r="D49" s="193">
        <v>0</v>
      </c>
      <c r="E49" s="193">
        <v>0</v>
      </c>
      <c r="F49" s="193">
        <v>0</v>
      </c>
      <c r="G49" s="193">
        <v>0</v>
      </c>
      <c r="H49" s="193">
        <v>0</v>
      </c>
      <c r="I49" s="193">
        <v>0</v>
      </c>
      <c r="J49" s="193">
        <v>0</v>
      </c>
      <c r="K49" s="193">
        <v>0</v>
      </c>
    </row>
    <row r="50" spans="1:11" x14ac:dyDescent="0.25">
      <c r="A50" s="192">
        <v>3</v>
      </c>
      <c r="B50" s="192" t="s">
        <v>1246</v>
      </c>
      <c r="C50" s="191" t="s">
        <v>1261</v>
      </c>
      <c r="D50" s="193">
        <v>0</v>
      </c>
      <c r="E50" s="193">
        <v>0</v>
      </c>
      <c r="F50" s="193">
        <v>0</v>
      </c>
      <c r="G50" s="193">
        <v>0</v>
      </c>
      <c r="H50" s="193">
        <v>0</v>
      </c>
      <c r="I50" s="193">
        <v>0</v>
      </c>
      <c r="J50" s="193">
        <v>0</v>
      </c>
      <c r="K50" s="193">
        <v>0</v>
      </c>
    </row>
    <row r="51" spans="1:11" x14ac:dyDescent="0.25">
      <c r="A51" s="192">
        <v>4</v>
      </c>
      <c r="B51" s="192" t="s">
        <v>1248</v>
      </c>
      <c r="C51" s="191" t="s">
        <v>1262</v>
      </c>
      <c r="D51" s="193">
        <v>0</v>
      </c>
      <c r="E51" s="193">
        <v>0</v>
      </c>
      <c r="F51" s="193">
        <v>0</v>
      </c>
      <c r="G51" s="193">
        <v>0</v>
      </c>
      <c r="H51" s="193">
        <v>0</v>
      </c>
      <c r="I51" s="193">
        <v>0</v>
      </c>
      <c r="J51" s="193">
        <v>0</v>
      </c>
      <c r="K51" s="193">
        <v>0</v>
      </c>
    </row>
    <row r="52" spans="1:11" x14ac:dyDescent="0.25">
      <c r="A52" s="192">
        <v>5</v>
      </c>
      <c r="B52" s="192" t="s">
        <v>1263</v>
      </c>
      <c r="C52" s="191" t="s">
        <v>1264</v>
      </c>
      <c r="D52" s="193">
        <v>0</v>
      </c>
      <c r="E52" s="193">
        <v>0</v>
      </c>
      <c r="F52" s="193">
        <v>0</v>
      </c>
      <c r="G52" s="193">
        <v>0</v>
      </c>
      <c r="H52" s="193">
        <v>0</v>
      </c>
      <c r="I52" s="193">
        <v>0</v>
      </c>
      <c r="J52" s="193">
        <v>0</v>
      </c>
      <c r="K52" s="193">
        <v>0</v>
      </c>
    </row>
    <row r="53" spans="1:11" x14ac:dyDescent="0.25">
      <c r="A53" s="192">
        <v>6</v>
      </c>
      <c r="B53" s="192" t="s">
        <v>1265</v>
      </c>
      <c r="C53" s="191" t="s">
        <v>1266</v>
      </c>
      <c r="D53" s="193">
        <v>0</v>
      </c>
      <c r="E53" s="193">
        <v>0</v>
      </c>
      <c r="F53" s="193">
        <v>0</v>
      </c>
      <c r="G53" s="193">
        <v>0</v>
      </c>
      <c r="H53" s="193">
        <v>0</v>
      </c>
      <c r="I53" s="193">
        <v>0</v>
      </c>
      <c r="J53" s="193">
        <v>0</v>
      </c>
      <c r="K53" s="193">
        <v>0</v>
      </c>
    </row>
    <row r="54" spans="1:11" x14ac:dyDescent="0.25">
      <c r="A54" s="192">
        <v>7</v>
      </c>
      <c r="B54" s="192" t="s">
        <v>1267</v>
      </c>
      <c r="C54" s="191" t="s">
        <v>1268</v>
      </c>
      <c r="D54" s="193">
        <v>0</v>
      </c>
      <c r="E54" s="193">
        <v>0</v>
      </c>
      <c r="F54" s="193">
        <v>0</v>
      </c>
      <c r="G54" s="193">
        <v>6360.14</v>
      </c>
      <c r="H54" s="193">
        <v>0</v>
      </c>
      <c r="I54" s="193">
        <v>0</v>
      </c>
      <c r="J54" s="193">
        <v>0</v>
      </c>
      <c r="K54" s="193">
        <v>6360</v>
      </c>
    </row>
    <row r="55" spans="1:11" x14ac:dyDescent="0.25">
      <c r="A55" s="192">
        <v>8</v>
      </c>
      <c r="B55" s="192" t="s">
        <v>1251</v>
      </c>
      <c r="C55" s="191" t="s">
        <v>1269</v>
      </c>
      <c r="D55" s="193">
        <v>6349.12</v>
      </c>
      <c r="E55" s="193">
        <v>0</v>
      </c>
      <c r="F55" s="193">
        <v>6349.12</v>
      </c>
      <c r="G55" s="193">
        <v>60512.53</v>
      </c>
      <c r="H55" s="193">
        <v>6349</v>
      </c>
      <c r="I55" s="193">
        <v>0</v>
      </c>
      <c r="J55" s="193">
        <v>6349</v>
      </c>
      <c r="K55" s="193">
        <v>60513</v>
      </c>
    </row>
    <row r="56" spans="1:11" x14ac:dyDescent="0.25">
      <c r="A56" s="192" t="s">
        <v>1270</v>
      </c>
      <c r="B56" s="192" t="s">
        <v>1271</v>
      </c>
      <c r="C56" s="191" t="s">
        <v>1272</v>
      </c>
      <c r="D56" s="193">
        <v>9143.7199999999993</v>
      </c>
      <c r="E56" s="193">
        <v>0</v>
      </c>
      <c r="F56" s="193">
        <v>9143.7199999999993</v>
      </c>
      <c r="G56" s="193">
        <v>26642.17</v>
      </c>
      <c r="H56" s="193">
        <v>9144</v>
      </c>
      <c r="I56" s="193">
        <v>0</v>
      </c>
      <c r="J56" s="193">
        <v>9144</v>
      </c>
      <c r="K56" s="193">
        <v>26642</v>
      </c>
    </row>
    <row r="57" spans="1:11" x14ac:dyDescent="0.25">
      <c r="A57" s="192" t="s">
        <v>1273</v>
      </c>
      <c r="B57" s="192" t="s">
        <v>1274</v>
      </c>
      <c r="C57" s="191" t="s">
        <v>1275</v>
      </c>
      <c r="D57" s="193">
        <v>9143.7199999999993</v>
      </c>
      <c r="E57" s="193">
        <v>0</v>
      </c>
      <c r="F57" s="193">
        <v>9143.7199999999993</v>
      </c>
      <c r="G57" s="193">
        <v>26642.17</v>
      </c>
      <c r="H57" s="193">
        <v>9144</v>
      </c>
      <c r="I57" s="193">
        <v>0</v>
      </c>
      <c r="J57" s="193">
        <v>9144</v>
      </c>
      <c r="K57" s="193">
        <v>26642</v>
      </c>
    </row>
    <row r="58" spans="1:11" x14ac:dyDescent="0.25">
      <c r="A58" s="192">
        <v>2</v>
      </c>
      <c r="B58" s="192" t="s">
        <v>1276</v>
      </c>
      <c r="C58" s="191" t="s">
        <v>1277</v>
      </c>
      <c r="D58" s="193">
        <v>0</v>
      </c>
      <c r="E58" s="193">
        <v>0</v>
      </c>
      <c r="F58" s="193">
        <v>0</v>
      </c>
      <c r="G58" s="193">
        <v>0</v>
      </c>
      <c r="H58" s="193">
        <v>0</v>
      </c>
      <c r="I58" s="193">
        <v>0</v>
      </c>
      <c r="J58" s="193">
        <v>0</v>
      </c>
      <c r="K58" s="193">
        <v>0</v>
      </c>
    </row>
    <row r="59" spans="1:11" x14ac:dyDescent="0.25">
      <c r="A59" s="192">
        <v>3</v>
      </c>
      <c r="B59" s="192" t="s">
        <v>1278</v>
      </c>
      <c r="C59" s="191" t="s">
        <v>1279</v>
      </c>
      <c r="D59" s="193">
        <v>0</v>
      </c>
      <c r="E59" s="193">
        <v>0</v>
      </c>
      <c r="F59" s="193">
        <v>0</v>
      </c>
      <c r="G59" s="193">
        <v>0</v>
      </c>
      <c r="H59" s="193">
        <v>0</v>
      </c>
      <c r="I59" s="193">
        <v>0</v>
      </c>
      <c r="J59" s="193">
        <v>0</v>
      </c>
      <c r="K59" s="193">
        <v>0</v>
      </c>
    </row>
    <row r="60" spans="1:11" x14ac:dyDescent="0.25">
      <c r="A60" s="192">
        <v>4</v>
      </c>
      <c r="B60" s="192" t="s">
        <v>1280</v>
      </c>
      <c r="C60" s="191" t="s">
        <v>1281</v>
      </c>
      <c r="D60" s="193">
        <v>0</v>
      </c>
      <c r="E60" s="193">
        <v>0</v>
      </c>
      <c r="F60" s="193">
        <v>0</v>
      </c>
      <c r="G60" s="193">
        <v>0</v>
      </c>
      <c r="H60" s="193">
        <v>0</v>
      </c>
      <c r="I60" s="193">
        <v>0</v>
      </c>
      <c r="J60" s="193">
        <v>0</v>
      </c>
      <c r="K60" s="193">
        <v>0</v>
      </c>
    </row>
    <row r="61" spans="1:11" x14ac:dyDescent="0.25">
      <c r="A61" s="192">
        <v>5</v>
      </c>
      <c r="B61" s="192" t="s">
        <v>1282</v>
      </c>
      <c r="C61" s="191" t="s">
        <v>1283</v>
      </c>
      <c r="D61" s="193">
        <v>0</v>
      </c>
      <c r="E61" s="193">
        <v>0</v>
      </c>
      <c r="F61" s="193">
        <v>0</v>
      </c>
      <c r="G61" s="193">
        <v>0</v>
      </c>
      <c r="H61" s="193">
        <v>0</v>
      </c>
      <c r="I61" s="193">
        <v>0</v>
      </c>
      <c r="J61" s="193">
        <v>0</v>
      </c>
      <c r="K61" s="193">
        <v>0</v>
      </c>
    </row>
    <row r="62" spans="1:11" x14ac:dyDescent="0.25">
      <c r="A62" s="192" t="s">
        <v>1024</v>
      </c>
      <c r="B62" s="192" t="s">
        <v>1284</v>
      </c>
      <c r="C62" s="191" t="s">
        <v>1285</v>
      </c>
      <c r="D62" s="193">
        <v>4460.41</v>
      </c>
      <c r="E62" s="193">
        <v>0</v>
      </c>
      <c r="F62" s="193">
        <v>4460.41</v>
      </c>
      <c r="G62" s="193">
        <v>4930.22</v>
      </c>
      <c r="H62" s="193">
        <v>4460</v>
      </c>
      <c r="I62" s="193">
        <v>0</v>
      </c>
      <c r="J62" s="193">
        <v>4460</v>
      </c>
      <c r="K62" s="193">
        <v>4930</v>
      </c>
    </row>
    <row r="63" spans="1:11" x14ac:dyDescent="0.25">
      <c r="A63" s="192" t="s">
        <v>1027</v>
      </c>
      <c r="B63" s="192" t="s">
        <v>1286</v>
      </c>
      <c r="C63" s="191" t="s">
        <v>1287</v>
      </c>
      <c r="D63" s="193">
        <v>0</v>
      </c>
      <c r="E63" s="193">
        <v>0</v>
      </c>
      <c r="F63" s="193">
        <v>0</v>
      </c>
      <c r="G63" s="193">
        <v>4930.22</v>
      </c>
      <c r="H63" s="193">
        <v>0</v>
      </c>
      <c r="I63" s="193">
        <v>0</v>
      </c>
      <c r="J63" s="193">
        <v>0</v>
      </c>
      <c r="K63" s="193">
        <v>4930</v>
      </c>
    </row>
    <row r="64" spans="1:11" x14ac:dyDescent="0.25">
      <c r="A64" s="192">
        <v>2</v>
      </c>
      <c r="B64" s="192" t="s">
        <v>1288</v>
      </c>
      <c r="C64" s="191" t="s">
        <v>1289</v>
      </c>
      <c r="D64" s="193">
        <v>4460.41</v>
      </c>
      <c r="E64" s="193">
        <v>0</v>
      </c>
      <c r="F64" s="193">
        <v>4460.41</v>
      </c>
      <c r="G64" s="193">
        <v>0</v>
      </c>
      <c r="H64" s="193">
        <v>4460</v>
      </c>
      <c r="I64" s="193">
        <v>0</v>
      </c>
      <c r="J64" s="193">
        <v>4460</v>
      </c>
      <c r="K64" s="193">
        <v>0</v>
      </c>
    </row>
    <row r="65" spans="1:11" x14ac:dyDescent="0.25">
      <c r="A65" s="192">
        <v>3</v>
      </c>
      <c r="B65" s="192" t="s">
        <v>1290</v>
      </c>
      <c r="C65" s="191" t="s">
        <v>1291</v>
      </c>
      <c r="D65" s="193">
        <v>0</v>
      </c>
      <c r="E65" s="193">
        <v>0</v>
      </c>
      <c r="F65" s="193">
        <v>0</v>
      </c>
      <c r="G65" s="193">
        <v>0</v>
      </c>
      <c r="H65" s="193">
        <v>0</v>
      </c>
      <c r="I65" s="193">
        <v>0</v>
      </c>
      <c r="J65" s="193">
        <v>0</v>
      </c>
      <c r="K65" s="193">
        <v>0</v>
      </c>
    </row>
    <row r="66" spans="1:11" x14ac:dyDescent="0.25">
      <c r="A66" s="192">
        <v>4</v>
      </c>
      <c r="B66" s="192" t="s">
        <v>1292</v>
      </c>
      <c r="C66" s="191" t="s">
        <v>1293</v>
      </c>
      <c r="D66" s="193">
        <v>0</v>
      </c>
      <c r="E66" s="193">
        <v>0</v>
      </c>
      <c r="F66" s="193">
        <v>0</v>
      </c>
      <c r="G66" s="193">
        <v>0</v>
      </c>
      <c r="H66" s="193">
        <v>0</v>
      </c>
      <c r="I66" s="193">
        <v>0</v>
      </c>
      <c r="J66" s="193">
        <v>0</v>
      </c>
      <c r="K66" s="193">
        <v>0</v>
      </c>
    </row>
    <row r="67" spans="1:11" x14ac:dyDescent="0.25">
      <c r="A67" s="192"/>
      <c r="B67" s="192" t="s">
        <v>1294</v>
      </c>
      <c r="C67" s="191" t="s">
        <v>1295</v>
      </c>
      <c r="D67" s="193">
        <v>16790805.870000001</v>
      </c>
      <c r="E67" s="193">
        <v>6312589.7999999998</v>
      </c>
      <c r="F67" s="193">
        <v>10478216.07</v>
      </c>
      <c r="G67" s="193">
        <v>11239100.539999999</v>
      </c>
      <c r="H67" s="193">
        <v>16790800</v>
      </c>
      <c r="I67" s="193">
        <v>6312592</v>
      </c>
      <c r="J67" s="193">
        <v>10478208</v>
      </c>
      <c r="K67" s="193">
        <v>11239098</v>
      </c>
    </row>
    <row r="68" spans="1:11" x14ac:dyDescent="0.25">
      <c r="A68" s="192"/>
      <c r="B68" s="192"/>
      <c r="C68" s="191"/>
      <c r="D68" s="193"/>
      <c r="E68" s="193"/>
      <c r="F68" s="193"/>
      <c r="G68" s="193"/>
      <c r="H68" s="193"/>
      <c r="I68" s="193"/>
      <c r="J68" s="193"/>
      <c r="K68" s="193"/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1"/>
  <sheetViews>
    <sheetView topLeftCell="A49" workbookViewId="0">
      <selection activeCell="C19" sqref="C19"/>
    </sheetView>
  </sheetViews>
  <sheetFormatPr defaultRowHeight="15" x14ac:dyDescent="0.25"/>
  <cols>
    <col min="1" max="1" width="9.140625" style="195"/>
    <col min="2" max="2" width="79.42578125" style="195" bestFit="1" customWidth="1"/>
    <col min="3" max="3" width="4.42578125" style="194" bestFit="1" customWidth="1"/>
    <col min="4" max="7" width="15.28515625" style="196" bestFit="1" customWidth="1"/>
    <col min="8" max="16384" width="9.140625" style="190"/>
  </cols>
  <sheetData>
    <row r="1" spans="1:7" ht="22.5" x14ac:dyDescent="0.25">
      <c r="A1" s="201" t="s">
        <v>503</v>
      </c>
      <c r="B1" s="201" t="s">
        <v>509</v>
      </c>
      <c r="C1" s="200" t="s">
        <v>526</v>
      </c>
      <c r="D1" s="202" t="s">
        <v>533</v>
      </c>
      <c r="E1" s="202" t="s">
        <v>534</v>
      </c>
      <c r="F1" s="202" t="s">
        <v>510</v>
      </c>
      <c r="G1" s="202" t="s">
        <v>508</v>
      </c>
    </row>
    <row r="2" spans="1:7" x14ac:dyDescent="0.25">
      <c r="B2" s="195" t="s">
        <v>1296</v>
      </c>
      <c r="C2" s="194" t="s">
        <v>1297</v>
      </c>
      <c r="D2" s="196">
        <v>2620669.12</v>
      </c>
      <c r="E2" s="196">
        <v>2811007.69</v>
      </c>
      <c r="F2" s="196">
        <v>2620667</v>
      </c>
      <c r="G2" s="196">
        <v>2811007</v>
      </c>
    </row>
    <row r="3" spans="1:7" x14ac:dyDescent="0.25">
      <c r="A3" s="195" t="s">
        <v>998</v>
      </c>
      <c r="B3" s="195" t="s">
        <v>1298</v>
      </c>
      <c r="C3" s="194" t="s">
        <v>1299</v>
      </c>
      <c r="D3" s="193">
        <v>1033239.43</v>
      </c>
      <c r="E3" s="193">
        <v>970210.48</v>
      </c>
      <c r="F3" s="193">
        <v>1033239</v>
      </c>
      <c r="G3" s="193">
        <v>970210</v>
      </c>
    </row>
    <row r="4" spans="1:7" x14ac:dyDescent="0.25">
      <c r="A4" s="195" t="s">
        <v>1164</v>
      </c>
      <c r="B4" s="195" t="s">
        <v>1300</v>
      </c>
      <c r="C4" s="194" t="s">
        <v>1301</v>
      </c>
      <c r="D4" s="196">
        <v>102902</v>
      </c>
      <c r="E4" s="196">
        <v>102902</v>
      </c>
      <c r="F4" s="196">
        <v>102902</v>
      </c>
      <c r="G4" s="196">
        <v>102902</v>
      </c>
    </row>
    <row r="5" spans="1:7" x14ac:dyDescent="0.25">
      <c r="A5" s="195" t="s">
        <v>1302</v>
      </c>
      <c r="B5" s="195" t="s">
        <v>1303</v>
      </c>
      <c r="C5" s="194" t="s">
        <v>1304</v>
      </c>
      <c r="D5" s="196">
        <v>102902</v>
      </c>
      <c r="E5" s="196">
        <v>102902</v>
      </c>
      <c r="F5" s="196">
        <v>102902</v>
      </c>
      <c r="G5" s="196">
        <v>102902</v>
      </c>
    </row>
    <row r="6" spans="1:7" x14ac:dyDescent="0.25">
      <c r="A6" s="195">
        <v>2</v>
      </c>
      <c r="B6" s="195" t="s">
        <v>1305</v>
      </c>
      <c r="C6" s="194" t="s">
        <v>1306</v>
      </c>
      <c r="D6" s="196">
        <v>0</v>
      </c>
      <c r="E6" s="196">
        <v>0</v>
      </c>
      <c r="F6" s="196">
        <v>0</v>
      </c>
      <c r="G6" s="196">
        <v>0</v>
      </c>
    </row>
    <row r="7" spans="1:7" x14ac:dyDescent="0.25">
      <c r="A7" s="195">
        <v>3</v>
      </c>
      <c r="B7" s="195" t="s">
        <v>1307</v>
      </c>
      <c r="C7" s="194" t="s">
        <v>1308</v>
      </c>
      <c r="D7" s="196">
        <v>0</v>
      </c>
      <c r="E7" s="196">
        <v>0</v>
      </c>
      <c r="F7" s="196">
        <v>0</v>
      </c>
      <c r="G7" s="196">
        <v>0</v>
      </c>
    </row>
    <row r="8" spans="1:7" x14ac:dyDescent="0.25">
      <c r="A8" s="195">
        <v>4</v>
      </c>
      <c r="B8" s="195" t="s">
        <v>1309</v>
      </c>
      <c r="C8" s="194" t="s">
        <v>1310</v>
      </c>
      <c r="D8" s="196">
        <v>0</v>
      </c>
      <c r="E8" s="196">
        <v>0</v>
      </c>
      <c r="F8" s="196">
        <v>0</v>
      </c>
      <c r="G8" s="196">
        <v>0</v>
      </c>
    </row>
    <row r="9" spans="1:7" x14ac:dyDescent="0.25">
      <c r="A9" s="195" t="s">
        <v>1182</v>
      </c>
      <c r="B9" s="195" t="s">
        <v>1311</v>
      </c>
      <c r="C9" s="194" t="s">
        <v>882</v>
      </c>
      <c r="D9" s="196">
        <v>0</v>
      </c>
      <c r="E9" s="196">
        <v>0</v>
      </c>
      <c r="F9" s="196">
        <v>0</v>
      </c>
      <c r="G9" s="196">
        <v>0</v>
      </c>
    </row>
    <row r="10" spans="1:7" x14ac:dyDescent="0.25">
      <c r="A10" s="195" t="s">
        <v>1185</v>
      </c>
      <c r="B10" s="195" t="s">
        <v>1312</v>
      </c>
      <c r="C10" s="194" t="s">
        <v>1313</v>
      </c>
      <c r="D10" s="196">
        <v>0</v>
      </c>
      <c r="E10" s="196">
        <v>0</v>
      </c>
      <c r="F10" s="196">
        <v>0</v>
      </c>
      <c r="G10" s="196">
        <v>0</v>
      </c>
    </row>
    <row r="11" spans="1:7" x14ac:dyDescent="0.25">
      <c r="A11" s="195">
        <v>2</v>
      </c>
      <c r="B11" s="195" t="s">
        <v>1314</v>
      </c>
      <c r="C11" s="194" t="s">
        <v>1315</v>
      </c>
      <c r="D11" s="196">
        <v>0</v>
      </c>
      <c r="E11" s="196">
        <v>0</v>
      </c>
      <c r="F11" s="196">
        <v>0</v>
      </c>
      <c r="G11" s="196">
        <v>0</v>
      </c>
    </row>
    <row r="12" spans="1:7" x14ac:dyDescent="0.25">
      <c r="A12" s="195">
        <v>3</v>
      </c>
      <c r="B12" s="195" t="s">
        <v>1316</v>
      </c>
      <c r="C12" s="194" t="s">
        <v>1317</v>
      </c>
      <c r="D12" s="196">
        <v>0</v>
      </c>
      <c r="E12" s="196">
        <v>0</v>
      </c>
      <c r="F12" s="196">
        <v>0</v>
      </c>
      <c r="G12" s="196">
        <v>0</v>
      </c>
    </row>
    <row r="13" spans="1:7" x14ac:dyDescent="0.25">
      <c r="A13" s="195">
        <v>4</v>
      </c>
      <c r="B13" s="195" t="s">
        <v>1318</v>
      </c>
      <c r="C13" s="194" t="s">
        <v>1319</v>
      </c>
      <c r="D13" s="196">
        <v>0</v>
      </c>
      <c r="E13" s="196">
        <v>0</v>
      </c>
      <c r="F13" s="196">
        <v>0</v>
      </c>
      <c r="G13" s="196">
        <v>0</v>
      </c>
    </row>
    <row r="14" spans="1:7" x14ac:dyDescent="0.25">
      <c r="A14" s="195">
        <v>5</v>
      </c>
      <c r="B14" s="195" t="s">
        <v>1320</v>
      </c>
      <c r="C14" s="194" t="s">
        <v>1321</v>
      </c>
      <c r="D14" s="196">
        <v>0</v>
      </c>
      <c r="E14" s="196">
        <v>0</v>
      </c>
      <c r="F14" s="196">
        <v>0</v>
      </c>
      <c r="G14" s="196">
        <v>0</v>
      </c>
    </row>
    <row r="15" spans="1:7" x14ac:dyDescent="0.25">
      <c r="A15" s="195">
        <v>6</v>
      </c>
      <c r="B15" s="195" t="s">
        <v>1322</v>
      </c>
      <c r="C15" s="194" t="s">
        <v>1323</v>
      </c>
      <c r="D15" s="196">
        <v>0</v>
      </c>
      <c r="E15" s="196">
        <v>0</v>
      </c>
      <c r="F15" s="196">
        <v>0</v>
      </c>
      <c r="G15" s="196">
        <v>0</v>
      </c>
    </row>
    <row r="16" spans="1:7" x14ac:dyDescent="0.25">
      <c r="A16" s="195" t="s">
        <v>1203</v>
      </c>
      <c r="B16" s="195" t="s">
        <v>1324</v>
      </c>
      <c r="C16" s="194" t="s">
        <v>1325</v>
      </c>
      <c r="D16" s="196">
        <v>15524.4</v>
      </c>
      <c r="E16" s="196">
        <v>15524.4</v>
      </c>
      <c r="F16" s="196">
        <v>15524</v>
      </c>
      <c r="G16" s="196">
        <v>15524</v>
      </c>
    </row>
    <row r="17" spans="1:7" x14ac:dyDescent="0.25">
      <c r="A17" s="195" t="s">
        <v>1205</v>
      </c>
      <c r="B17" s="195" t="s">
        <v>1326</v>
      </c>
      <c r="C17" s="194" t="s">
        <v>883</v>
      </c>
      <c r="D17" s="196">
        <v>15524.4</v>
      </c>
      <c r="E17" s="196">
        <v>15524.4</v>
      </c>
      <c r="F17" s="196">
        <v>15524</v>
      </c>
      <c r="G17" s="196">
        <v>15524</v>
      </c>
    </row>
    <row r="18" spans="1:7" x14ac:dyDescent="0.25">
      <c r="A18" s="195">
        <v>2</v>
      </c>
      <c r="B18" s="195" t="s">
        <v>1327</v>
      </c>
      <c r="C18" s="194" t="s">
        <v>885</v>
      </c>
      <c r="D18" s="196">
        <v>0</v>
      </c>
      <c r="E18" s="196">
        <v>0</v>
      </c>
      <c r="F18" s="196">
        <v>0</v>
      </c>
      <c r="G18" s="196">
        <v>0</v>
      </c>
    </row>
    <row r="19" spans="1:7" x14ac:dyDescent="0.25">
      <c r="A19" s="195">
        <v>3</v>
      </c>
      <c r="B19" s="195" t="s">
        <v>1328</v>
      </c>
      <c r="C19" s="194" t="s">
        <v>1329</v>
      </c>
      <c r="D19" s="196">
        <v>0</v>
      </c>
      <c r="E19" s="196">
        <v>0</v>
      </c>
      <c r="F19" s="196">
        <v>0</v>
      </c>
      <c r="G19" s="196">
        <v>0</v>
      </c>
    </row>
    <row r="20" spans="1:7" x14ac:dyDescent="0.25">
      <c r="A20" s="195" t="s">
        <v>1330</v>
      </c>
      <c r="B20" s="195" t="s">
        <v>1331</v>
      </c>
      <c r="C20" s="194" t="s">
        <v>1332</v>
      </c>
      <c r="D20" s="196">
        <v>851784.08</v>
      </c>
      <c r="E20" s="196">
        <v>787255.31</v>
      </c>
      <c r="F20" s="196">
        <v>851784</v>
      </c>
      <c r="G20" s="196">
        <v>787255</v>
      </c>
    </row>
    <row r="21" spans="1:7" x14ac:dyDescent="0.25">
      <c r="A21" s="195" t="s">
        <v>1333</v>
      </c>
      <c r="B21" s="195" t="s">
        <v>1334</v>
      </c>
      <c r="C21" s="194" t="s">
        <v>1335</v>
      </c>
      <c r="D21" s="196">
        <v>851784.08</v>
      </c>
      <c r="E21" s="196">
        <v>787255.31</v>
      </c>
      <c r="F21" s="196">
        <v>851784</v>
      </c>
      <c r="G21" s="196">
        <v>787255</v>
      </c>
    </row>
    <row r="22" spans="1:7" x14ac:dyDescent="0.25">
      <c r="A22" s="195">
        <v>2</v>
      </c>
      <c r="B22" s="195" t="s">
        <v>1336</v>
      </c>
      <c r="C22" s="194" t="s">
        <v>1337</v>
      </c>
      <c r="D22" s="196">
        <v>0</v>
      </c>
      <c r="E22" s="196">
        <v>0</v>
      </c>
      <c r="F22" s="196">
        <v>0</v>
      </c>
      <c r="G22" s="196">
        <v>0</v>
      </c>
    </row>
    <row r="23" spans="1:7" x14ac:dyDescent="0.25">
      <c r="A23" s="195" t="s">
        <v>1338</v>
      </c>
      <c r="B23" s="195" t="s">
        <v>1339</v>
      </c>
      <c r="C23" s="194" t="s">
        <v>1340</v>
      </c>
      <c r="D23" s="196">
        <v>63028.95</v>
      </c>
      <c r="E23" s="196">
        <v>64528.77</v>
      </c>
      <c r="F23" s="196">
        <v>63029</v>
      </c>
      <c r="G23" s="196">
        <v>64529</v>
      </c>
    </row>
    <row r="24" spans="1:7" x14ac:dyDescent="0.25">
      <c r="A24" s="195" t="s">
        <v>1014</v>
      </c>
      <c r="B24" s="195" t="s">
        <v>1341</v>
      </c>
      <c r="C24" s="194" t="s">
        <v>1342</v>
      </c>
      <c r="D24" s="196">
        <v>1583877.94</v>
      </c>
      <c r="E24" s="196">
        <v>1837245.46</v>
      </c>
      <c r="F24" s="196">
        <v>1583876</v>
      </c>
      <c r="G24" s="196">
        <v>1837245</v>
      </c>
    </row>
    <row r="25" spans="1:7" x14ac:dyDescent="0.25">
      <c r="A25" s="195" t="s">
        <v>1223</v>
      </c>
      <c r="B25" s="195" t="s">
        <v>1343</v>
      </c>
      <c r="C25" s="194" t="s">
        <v>1344</v>
      </c>
      <c r="D25" s="196">
        <v>30028.75</v>
      </c>
      <c r="E25" s="196">
        <v>27904.98</v>
      </c>
      <c r="F25" s="196">
        <v>30029</v>
      </c>
      <c r="G25" s="196">
        <v>27905</v>
      </c>
    </row>
    <row r="26" spans="1:7" x14ac:dyDescent="0.25">
      <c r="A26" s="195" t="s">
        <v>1225</v>
      </c>
      <c r="B26" s="195" t="s">
        <v>1345</v>
      </c>
      <c r="C26" s="194" t="s">
        <v>1346</v>
      </c>
      <c r="D26" s="196">
        <v>0</v>
      </c>
      <c r="E26" s="196">
        <v>0</v>
      </c>
      <c r="F26" s="196">
        <v>0</v>
      </c>
      <c r="G26" s="196">
        <v>0</v>
      </c>
    </row>
    <row r="27" spans="1:7" x14ac:dyDescent="0.25">
      <c r="A27" s="195">
        <v>2</v>
      </c>
      <c r="B27" s="195" t="s">
        <v>1347</v>
      </c>
      <c r="C27" s="194" t="s">
        <v>1348</v>
      </c>
      <c r="D27" s="196">
        <v>30028.75</v>
      </c>
      <c r="E27" s="196">
        <v>27904.98</v>
      </c>
      <c r="F27" s="196">
        <v>30029</v>
      </c>
      <c r="G27" s="196">
        <v>27905</v>
      </c>
    </row>
    <row r="28" spans="1:7" x14ac:dyDescent="0.25">
      <c r="A28" s="195">
        <v>3</v>
      </c>
      <c r="B28" s="195" t="s">
        <v>1349</v>
      </c>
      <c r="C28" s="194" t="s">
        <v>1350</v>
      </c>
      <c r="D28" s="196">
        <v>0</v>
      </c>
      <c r="E28" s="196">
        <v>0</v>
      </c>
      <c r="F28" s="196">
        <v>0</v>
      </c>
      <c r="G28" s="196">
        <v>0</v>
      </c>
    </row>
    <row r="29" spans="1:7" x14ac:dyDescent="0.25">
      <c r="A29" s="195">
        <v>4</v>
      </c>
      <c r="B29" s="195" t="s">
        <v>1351</v>
      </c>
      <c r="C29" s="194" t="s">
        <v>1352</v>
      </c>
      <c r="D29" s="196">
        <v>0</v>
      </c>
      <c r="E29" s="196">
        <v>0</v>
      </c>
      <c r="F29" s="196">
        <v>0</v>
      </c>
      <c r="G29" s="196">
        <v>0</v>
      </c>
    </row>
    <row r="30" spans="1:7" x14ac:dyDescent="0.25">
      <c r="A30" s="195" t="s">
        <v>1238</v>
      </c>
      <c r="B30" s="195" t="s">
        <v>1353</v>
      </c>
      <c r="C30" s="194" t="s">
        <v>1354</v>
      </c>
      <c r="D30" s="196">
        <v>46663.31</v>
      </c>
      <c r="E30" s="196">
        <v>75889.5</v>
      </c>
      <c r="F30" s="196">
        <v>46664</v>
      </c>
      <c r="G30" s="196">
        <v>75890</v>
      </c>
    </row>
    <row r="31" spans="1:7" x14ac:dyDescent="0.25">
      <c r="A31" s="195" t="s">
        <v>1241</v>
      </c>
      <c r="B31" s="195" t="s">
        <v>1355</v>
      </c>
      <c r="C31" s="194" t="s">
        <v>1356</v>
      </c>
      <c r="D31" s="196">
        <v>0</v>
      </c>
      <c r="E31" s="196">
        <v>0</v>
      </c>
      <c r="F31" s="196">
        <v>0</v>
      </c>
      <c r="G31" s="196">
        <v>0</v>
      </c>
    </row>
    <row r="32" spans="1:7" x14ac:dyDescent="0.25">
      <c r="A32" s="195">
        <v>2</v>
      </c>
      <c r="B32" s="195" t="s">
        <v>1244</v>
      </c>
      <c r="C32" s="194" t="s">
        <v>1357</v>
      </c>
      <c r="D32" s="196">
        <v>0</v>
      </c>
      <c r="E32" s="196">
        <v>0</v>
      </c>
      <c r="F32" s="196">
        <v>0</v>
      </c>
      <c r="G32" s="196">
        <v>0</v>
      </c>
    </row>
    <row r="33" spans="1:7" x14ac:dyDescent="0.25">
      <c r="A33" s="195">
        <v>3</v>
      </c>
      <c r="B33" s="195" t="s">
        <v>1358</v>
      </c>
      <c r="C33" s="194" t="s">
        <v>1359</v>
      </c>
      <c r="D33" s="196">
        <v>0</v>
      </c>
      <c r="E33" s="196">
        <v>0</v>
      </c>
      <c r="F33" s="196">
        <v>0</v>
      </c>
      <c r="G33" s="196">
        <v>0</v>
      </c>
    </row>
    <row r="34" spans="1:7" x14ac:dyDescent="0.25">
      <c r="A34" s="195">
        <v>4</v>
      </c>
      <c r="B34" s="195" t="s">
        <v>1360</v>
      </c>
      <c r="C34" s="194" t="s">
        <v>1361</v>
      </c>
      <c r="D34" s="196">
        <v>0</v>
      </c>
      <c r="E34" s="196">
        <v>0</v>
      </c>
      <c r="F34" s="196">
        <v>0</v>
      </c>
      <c r="G34" s="196">
        <v>0</v>
      </c>
    </row>
    <row r="35" spans="1:7" x14ac:dyDescent="0.25">
      <c r="A35" s="195">
        <v>5</v>
      </c>
      <c r="B35" s="195" t="s">
        <v>1362</v>
      </c>
      <c r="C35" s="194" t="s">
        <v>1363</v>
      </c>
      <c r="D35" s="196">
        <v>0</v>
      </c>
      <c r="E35" s="196">
        <v>0</v>
      </c>
      <c r="F35" s="196">
        <v>0</v>
      </c>
      <c r="G35" s="196">
        <v>0</v>
      </c>
    </row>
    <row r="36" spans="1:7" x14ac:dyDescent="0.25">
      <c r="A36" s="195">
        <v>6</v>
      </c>
      <c r="B36" s="195" t="s">
        <v>1364</v>
      </c>
      <c r="C36" s="194" t="s">
        <v>1365</v>
      </c>
      <c r="D36" s="196">
        <v>0</v>
      </c>
      <c r="E36" s="196">
        <v>0</v>
      </c>
      <c r="F36" s="196">
        <v>0</v>
      </c>
      <c r="G36" s="196">
        <v>0</v>
      </c>
    </row>
    <row r="37" spans="1:7" x14ac:dyDescent="0.25">
      <c r="A37" s="195">
        <v>7</v>
      </c>
      <c r="B37" s="195" t="s">
        <v>1366</v>
      </c>
      <c r="C37" s="194" t="s">
        <v>1367</v>
      </c>
      <c r="D37" s="196">
        <v>0</v>
      </c>
      <c r="E37" s="196">
        <v>0</v>
      </c>
      <c r="F37" s="196">
        <v>0</v>
      </c>
      <c r="G37" s="196">
        <v>0</v>
      </c>
    </row>
    <row r="38" spans="1:7" x14ac:dyDescent="0.25">
      <c r="A38" s="195">
        <v>8</v>
      </c>
      <c r="B38" s="195" t="s">
        <v>1368</v>
      </c>
      <c r="C38" s="194" t="s">
        <v>1369</v>
      </c>
      <c r="D38" s="196">
        <v>0</v>
      </c>
      <c r="E38" s="196">
        <v>0</v>
      </c>
      <c r="F38" s="196">
        <v>0</v>
      </c>
      <c r="G38" s="196">
        <v>0</v>
      </c>
    </row>
    <row r="39" spans="1:7" x14ac:dyDescent="0.25">
      <c r="A39" s="195">
        <v>9</v>
      </c>
      <c r="B39" s="195" t="s">
        <v>1370</v>
      </c>
      <c r="C39" s="194" t="s">
        <v>1371</v>
      </c>
      <c r="D39" s="196">
        <v>6047.74</v>
      </c>
      <c r="E39" s="196">
        <v>5351.21</v>
      </c>
      <c r="F39" s="196">
        <v>6048</v>
      </c>
      <c r="G39" s="196">
        <v>5351</v>
      </c>
    </row>
    <row r="40" spans="1:7" x14ac:dyDescent="0.25">
      <c r="A40" s="195">
        <v>10</v>
      </c>
      <c r="B40" s="195" t="s">
        <v>1372</v>
      </c>
      <c r="C40" s="194" t="s">
        <v>1373</v>
      </c>
      <c r="D40" s="196">
        <v>13360.04</v>
      </c>
      <c r="E40" s="196">
        <v>46549.68</v>
      </c>
      <c r="F40" s="196">
        <v>13360</v>
      </c>
      <c r="G40" s="196">
        <v>46550</v>
      </c>
    </row>
    <row r="41" spans="1:7" x14ac:dyDescent="0.25">
      <c r="A41" s="195">
        <v>11</v>
      </c>
      <c r="B41" s="195" t="s">
        <v>1374</v>
      </c>
      <c r="C41" s="194" t="s">
        <v>1375</v>
      </c>
      <c r="D41" s="196">
        <v>27255.53</v>
      </c>
      <c r="E41" s="196">
        <v>23988.61</v>
      </c>
      <c r="F41" s="196">
        <v>27256</v>
      </c>
      <c r="G41" s="196">
        <v>23989</v>
      </c>
    </row>
    <row r="42" spans="1:7" x14ac:dyDescent="0.25">
      <c r="A42" s="195" t="s">
        <v>1255</v>
      </c>
      <c r="B42" s="195" t="s">
        <v>1376</v>
      </c>
      <c r="C42" s="194" t="s">
        <v>1377</v>
      </c>
      <c r="D42" s="196">
        <v>547758.36</v>
      </c>
      <c r="E42" s="196">
        <v>675850.49</v>
      </c>
      <c r="F42" s="196">
        <v>547756</v>
      </c>
      <c r="G42" s="196">
        <v>675850</v>
      </c>
    </row>
    <row r="43" spans="1:7" x14ac:dyDescent="0.25">
      <c r="A43" s="195" t="s">
        <v>1378</v>
      </c>
      <c r="B43" s="195" t="s">
        <v>1379</v>
      </c>
      <c r="C43" s="194" t="s">
        <v>1380</v>
      </c>
      <c r="D43" s="196">
        <v>408021.05</v>
      </c>
      <c r="E43" s="196">
        <v>545299.34</v>
      </c>
      <c r="F43" s="196">
        <v>408019</v>
      </c>
      <c r="G43" s="196">
        <v>545299</v>
      </c>
    </row>
    <row r="44" spans="1:7" x14ac:dyDescent="0.25">
      <c r="A44" s="195">
        <v>2</v>
      </c>
      <c r="B44" s="195" t="s">
        <v>1244</v>
      </c>
      <c r="C44" s="194" t="s">
        <v>1381</v>
      </c>
      <c r="D44" s="196">
        <v>0</v>
      </c>
      <c r="E44" s="196">
        <v>0</v>
      </c>
      <c r="F44" s="196">
        <v>0</v>
      </c>
      <c r="G44" s="196">
        <v>0</v>
      </c>
    </row>
    <row r="45" spans="1:7" x14ac:dyDescent="0.25">
      <c r="A45" s="195">
        <v>3</v>
      </c>
      <c r="B45" s="195" t="s">
        <v>1382</v>
      </c>
      <c r="C45" s="194" t="s">
        <v>1383</v>
      </c>
      <c r="D45" s="196">
        <v>1655.85</v>
      </c>
      <c r="E45" s="196">
        <v>3570.98</v>
      </c>
      <c r="F45" s="196">
        <v>1656</v>
      </c>
      <c r="G45" s="196">
        <v>3571</v>
      </c>
    </row>
    <row r="46" spans="1:7" x14ac:dyDescent="0.25">
      <c r="A46" s="195">
        <v>4</v>
      </c>
      <c r="B46" s="195" t="s">
        <v>1384</v>
      </c>
      <c r="C46" s="194" t="s">
        <v>1385</v>
      </c>
      <c r="D46" s="196">
        <v>0</v>
      </c>
      <c r="E46" s="196">
        <v>0</v>
      </c>
      <c r="F46" s="196">
        <v>0</v>
      </c>
      <c r="G46" s="196">
        <v>0</v>
      </c>
    </row>
    <row r="47" spans="1:7" x14ac:dyDescent="0.25">
      <c r="A47" s="195">
        <v>5</v>
      </c>
      <c r="B47" s="195" t="s">
        <v>1386</v>
      </c>
      <c r="C47" s="194" t="s">
        <v>887</v>
      </c>
      <c r="D47" s="196">
        <v>0</v>
      </c>
      <c r="E47" s="196">
        <v>0</v>
      </c>
      <c r="F47" s="196">
        <v>0</v>
      </c>
      <c r="G47" s="196">
        <v>0</v>
      </c>
    </row>
    <row r="48" spans="1:7" x14ac:dyDescent="0.25">
      <c r="A48" s="195">
        <v>6</v>
      </c>
      <c r="B48" s="195" t="s">
        <v>1387</v>
      </c>
      <c r="C48" s="194" t="s">
        <v>888</v>
      </c>
      <c r="D48" s="196">
        <v>33197.25</v>
      </c>
      <c r="E48" s="196">
        <v>30427.89</v>
      </c>
      <c r="F48" s="196">
        <v>33197</v>
      </c>
      <c r="G48" s="196">
        <v>30428</v>
      </c>
    </row>
    <row r="49" spans="1:7" x14ac:dyDescent="0.25">
      <c r="A49" s="195">
        <v>7</v>
      </c>
      <c r="B49" s="195" t="s">
        <v>1388</v>
      </c>
      <c r="C49" s="194" t="s">
        <v>1389</v>
      </c>
      <c r="D49" s="196">
        <v>24738.240000000002</v>
      </c>
      <c r="E49" s="196">
        <v>20823.52</v>
      </c>
      <c r="F49" s="196">
        <v>24738</v>
      </c>
      <c r="G49" s="196">
        <v>20824</v>
      </c>
    </row>
    <row r="50" spans="1:7" x14ac:dyDescent="0.25">
      <c r="A50" s="195">
        <v>8</v>
      </c>
      <c r="B50" s="195" t="s">
        <v>1390</v>
      </c>
      <c r="C50" s="194" t="s">
        <v>1391</v>
      </c>
      <c r="D50" s="196">
        <v>17471.14</v>
      </c>
      <c r="E50" s="196">
        <v>13135.1</v>
      </c>
      <c r="F50" s="196">
        <v>17471</v>
      </c>
      <c r="G50" s="196">
        <v>13135</v>
      </c>
    </row>
    <row r="51" spans="1:7" x14ac:dyDescent="0.25">
      <c r="A51" s="195">
        <v>9</v>
      </c>
      <c r="B51" s="195" t="s">
        <v>1392</v>
      </c>
      <c r="C51" s="194" t="s">
        <v>1393</v>
      </c>
      <c r="D51" s="196">
        <v>29355.19</v>
      </c>
      <c r="E51" s="196">
        <v>30916.37</v>
      </c>
      <c r="F51" s="196">
        <v>29355</v>
      </c>
      <c r="G51" s="196">
        <v>30916</v>
      </c>
    </row>
    <row r="52" spans="1:7" x14ac:dyDescent="0.25">
      <c r="A52" s="195">
        <v>10</v>
      </c>
      <c r="B52" s="195" t="s">
        <v>1394</v>
      </c>
      <c r="C52" s="194" t="s">
        <v>1395</v>
      </c>
      <c r="D52" s="196">
        <v>33319.64</v>
      </c>
      <c r="E52" s="196">
        <v>31677.29</v>
      </c>
      <c r="F52" s="196">
        <v>33320</v>
      </c>
      <c r="G52" s="196">
        <v>31677</v>
      </c>
    </row>
    <row r="53" spans="1:7" x14ac:dyDescent="0.25">
      <c r="A53" s="195" t="s">
        <v>1270</v>
      </c>
      <c r="B53" s="195" t="s">
        <v>1396</v>
      </c>
      <c r="C53" s="194" t="s">
        <v>1397</v>
      </c>
      <c r="D53" s="196">
        <v>43555.14</v>
      </c>
      <c r="E53" s="196">
        <v>43555.14</v>
      </c>
      <c r="F53" s="196">
        <v>43555</v>
      </c>
      <c r="G53" s="196">
        <v>43555</v>
      </c>
    </row>
    <row r="54" spans="1:7" x14ac:dyDescent="0.25">
      <c r="A54" s="195" t="s">
        <v>1398</v>
      </c>
      <c r="B54" s="195" t="s">
        <v>1399</v>
      </c>
      <c r="C54" s="194" t="s">
        <v>1400</v>
      </c>
      <c r="D54" s="196">
        <v>915872.38</v>
      </c>
      <c r="E54" s="196">
        <v>1014045.35</v>
      </c>
      <c r="F54" s="196">
        <v>915872</v>
      </c>
      <c r="G54" s="196">
        <v>1014045</v>
      </c>
    </row>
    <row r="55" spans="1:7" x14ac:dyDescent="0.25">
      <c r="A55" s="195" t="s">
        <v>1273</v>
      </c>
      <c r="B55" s="195" t="s">
        <v>1401</v>
      </c>
      <c r="C55" s="194" t="s">
        <v>1402</v>
      </c>
      <c r="D55" s="196">
        <v>432749.44</v>
      </c>
      <c r="E55" s="196">
        <v>499270</v>
      </c>
      <c r="F55" s="196">
        <v>432749</v>
      </c>
      <c r="G55" s="196">
        <v>499270</v>
      </c>
    </row>
    <row r="56" spans="1:7" x14ac:dyDescent="0.25">
      <c r="A56" s="195">
        <v>2</v>
      </c>
      <c r="B56" s="195" t="s">
        <v>1403</v>
      </c>
      <c r="C56" s="194" t="s">
        <v>1404</v>
      </c>
      <c r="D56" s="196">
        <v>483122.94</v>
      </c>
      <c r="E56" s="196">
        <v>514775.35</v>
      </c>
      <c r="F56" s="196">
        <v>483123</v>
      </c>
      <c r="G56" s="196">
        <v>514775</v>
      </c>
    </row>
    <row r="57" spans="1:7" x14ac:dyDescent="0.25">
      <c r="A57" s="195" t="s">
        <v>1024</v>
      </c>
      <c r="B57" s="195" t="s">
        <v>1405</v>
      </c>
      <c r="C57" s="194" t="s">
        <v>1406</v>
      </c>
      <c r="D57" s="196">
        <v>3551.75</v>
      </c>
      <c r="E57" s="196">
        <v>3551.75</v>
      </c>
      <c r="F57" s="196">
        <v>3552</v>
      </c>
      <c r="G57" s="196">
        <v>3552</v>
      </c>
    </row>
    <row r="58" spans="1:7" x14ac:dyDescent="0.25">
      <c r="A58" s="195" t="s">
        <v>1027</v>
      </c>
      <c r="B58" s="195" t="s">
        <v>1407</v>
      </c>
      <c r="C58" s="194" t="s">
        <v>1408</v>
      </c>
      <c r="D58" s="196">
        <v>0</v>
      </c>
      <c r="E58" s="196">
        <v>0</v>
      </c>
      <c r="F58" s="196">
        <v>0</v>
      </c>
      <c r="G58" s="196">
        <v>0</v>
      </c>
    </row>
    <row r="59" spans="1:7" x14ac:dyDescent="0.25">
      <c r="A59" s="195">
        <v>2</v>
      </c>
      <c r="B59" s="195" t="s">
        <v>1409</v>
      </c>
      <c r="C59" s="194" t="s">
        <v>1410</v>
      </c>
      <c r="D59" s="196">
        <v>0</v>
      </c>
      <c r="E59" s="196">
        <v>0</v>
      </c>
      <c r="F59" s="196">
        <v>0</v>
      </c>
      <c r="G59" s="196">
        <v>0</v>
      </c>
    </row>
    <row r="60" spans="1:7" x14ac:dyDescent="0.25">
      <c r="A60" s="195">
        <v>3</v>
      </c>
      <c r="B60" s="195" t="s">
        <v>1411</v>
      </c>
      <c r="C60" s="194" t="s">
        <v>1412</v>
      </c>
      <c r="D60" s="196">
        <v>3551.75</v>
      </c>
      <c r="E60" s="196">
        <v>0</v>
      </c>
      <c r="F60" s="196">
        <v>3552</v>
      </c>
      <c r="G60" s="196">
        <v>0</v>
      </c>
    </row>
    <row r="61" spans="1:7" x14ac:dyDescent="0.25">
      <c r="A61" s="195">
        <v>4</v>
      </c>
      <c r="B61" s="195" t="s">
        <v>1413</v>
      </c>
      <c r="C61" s="194" t="s">
        <v>1414</v>
      </c>
      <c r="D61" s="196">
        <v>0</v>
      </c>
      <c r="E61" s="196">
        <v>3551.75</v>
      </c>
      <c r="F61" s="196">
        <v>0</v>
      </c>
      <c r="G61" s="196">
        <v>3552</v>
      </c>
    </row>
  </sheetData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67"/>
  <sheetViews>
    <sheetView topLeftCell="A37" workbookViewId="0">
      <selection activeCell="G20" sqref="G20"/>
    </sheetView>
  </sheetViews>
  <sheetFormatPr defaultRowHeight="15" x14ac:dyDescent="0.25"/>
  <cols>
    <col min="1" max="1" width="8.28515625" style="195" bestFit="1" customWidth="1"/>
    <col min="2" max="2" width="63.5703125" style="195" bestFit="1" customWidth="1"/>
    <col min="3" max="3" width="4.42578125" style="194" bestFit="1" customWidth="1"/>
    <col min="4" max="11" width="15.28515625" style="196" bestFit="1" customWidth="1"/>
    <col min="12" max="16384" width="9.140625" style="190"/>
  </cols>
  <sheetData>
    <row r="1" spans="1:11" ht="22.5" x14ac:dyDescent="0.25">
      <c r="A1" s="201" t="s">
        <v>503</v>
      </c>
      <c r="B1" s="201" t="s">
        <v>504</v>
      </c>
      <c r="C1" s="200" t="s">
        <v>526</v>
      </c>
      <c r="D1" s="202" t="s">
        <v>529</v>
      </c>
      <c r="E1" s="202" t="s">
        <v>530</v>
      </c>
      <c r="F1" s="202" t="s">
        <v>531</v>
      </c>
      <c r="G1" s="202" t="s">
        <v>532</v>
      </c>
      <c r="H1" s="202" t="s">
        <v>505</v>
      </c>
      <c r="I1" s="202" t="s">
        <v>506</v>
      </c>
      <c r="J1" s="202" t="s">
        <v>507</v>
      </c>
      <c r="K1" s="202" t="s">
        <v>508</v>
      </c>
    </row>
    <row r="2" spans="1:11" x14ac:dyDescent="0.25">
      <c r="B2" s="195" t="s">
        <v>1160</v>
      </c>
      <c r="C2" s="194" t="s">
        <v>1161</v>
      </c>
      <c r="D2" s="196">
        <v>4225349.09</v>
      </c>
      <c r="E2" s="196">
        <v>1414341.4</v>
      </c>
      <c r="F2" s="196">
        <v>2811007.69</v>
      </c>
      <c r="G2" s="196">
        <v>0</v>
      </c>
      <c r="H2" s="196">
        <v>4225349</v>
      </c>
      <c r="I2" s="196">
        <v>1414342</v>
      </c>
      <c r="J2" s="196">
        <v>2811007</v>
      </c>
      <c r="K2" s="196">
        <v>0</v>
      </c>
    </row>
    <row r="3" spans="1:11" x14ac:dyDescent="0.25">
      <c r="A3" s="195" t="s">
        <v>998</v>
      </c>
      <c r="B3" s="195" t="s">
        <v>1162</v>
      </c>
      <c r="C3" s="194" t="s">
        <v>1163</v>
      </c>
      <c r="D3" s="193">
        <v>2677634.54</v>
      </c>
      <c r="E3" s="193">
        <v>1336799.08</v>
      </c>
      <c r="F3" s="193">
        <v>1340835.46</v>
      </c>
      <c r="G3" s="193">
        <v>0</v>
      </c>
      <c r="H3" s="193">
        <v>2677635</v>
      </c>
      <c r="I3" s="193">
        <v>1336800</v>
      </c>
      <c r="J3" s="193">
        <v>1340835</v>
      </c>
      <c r="K3" s="193">
        <v>0</v>
      </c>
    </row>
    <row r="4" spans="1:11" x14ac:dyDescent="0.25">
      <c r="A4" s="195" t="s">
        <v>1164</v>
      </c>
      <c r="B4" s="195" t="s">
        <v>1165</v>
      </c>
      <c r="C4" s="194" t="s">
        <v>1166</v>
      </c>
      <c r="D4" s="196">
        <v>14846.87</v>
      </c>
      <c r="E4" s="196">
        <v>14846.87</v>
      </c>
      <c r="F4" s="196">
        <v>0</v>
      </c>
      <c r="G4" s="196">
        <v>0</v>
      </c>
      <c r="H4" s="196">
        <v>14847</v>
      </c>
      <c r="I4" s="196">
        <v>14847</v>
      </c>
      <c r="J4" s="196">
        <v>0</v>
      </c>
      <c r="K4" s="196">
        <v>0</v>
      </c>
    </row>
    <row r="5" spans="1:11" x14ac:dyDescent="0.25">
      <c r="A5" s="195" t="s">
        <v>1167</v>
      </c>
      <c r="B5" s="195" t="s">
        <v>1168</v>
      </c>
      <c r="C5" s="194" t="s">
        <v>1169</v>
      </c>
      <c r="D5" s="196">
        <v>0</v>
      </c>
      <c r="E5" s="196">
        <v>0</v>
      </c>
      <c r="F5" s="196">
        <v>0</v>
      </c>
      <c r="G5" s="196">
        <v>0</v>
      </c>
      <c r="H5" s="196">
        <v>0</v>
      </c>
      <c r="I5" s="196">
        <v>0</v>
      </c>
      <c r="J5" s="196">
        <v>0</v>
      </c>
      <c r="K5" s="196">
        <v>0</v>
      </c>
    </row>
    <row r="6" spans="1:11" x14ac:dyDescent="0.25">
      <c r="A6" s="195">
        <v>2</v>
      </c>
      <c r="B6" s="195" t="s">
        <v>1170</v>
      </c>
      <c r="C6" s="194" t="s">
        <v>1171</v>
      </c>
      <c r="D6" s="196">
        <v>14846.87</v>
      </c>
      <c r="E6" s="196">
        <v>14846.87</v>
      </c>
      <c r="F6" s="196">
        <v>0</v>
      </c>
      <c r="G6" s="196">
        <v>0</v>
      </c>
      <c r="H6" s="196">
        <v>14847</v>
      </c>
      <c r="I6" s="196">
        <v>14847</v>
      </c>
      <c r="J6" s="196">
        <v>0</v>
      </c>
      <c r="K6" s="196">
        <v>0</v>
      </c>
    </row>
    <row r="7" spans="1:11" x14ac:dyDescent="0.25">
      <c r="A7" s="195">
        <v>3</v>
      </c>
      <c r="B7" s="195" t="s">
        <v>1172</v>
      </c>
      <c r="C7" s="194" t="s">
        <v>1173</v>
      </c>
      <c r="D7" s="196">
        <v>0</v>
      </c>
      <c r="E7" s="196">
        <v>0</v>
      </c>
      <c r="F7" s="196">
        <v>0</v>
      </c>
      <c r="G7" s="196">
        <v>0</v>
      </c>
      <c r="H7" s="196">
        <v>0</v>
      </c>
      <c r="I7" s="196">
        <v>0</v>
      </c>
      <c r="J7" s="196">
        <v>0</v>
      </c>
      <c r="K7" s="196">
        <v>0</v>
      </c>
    </row>
    <row r="8" spans="1:11" x14ac:dyDescent="0.25">
      <c r="A8" s="195">
        <v>4</v>
      </c>
      <c r="B8" s="195" t="s">
        <v>1174</v>
      </c>
      <c r="C8" s="194" t="s">
        <v>1175</v>
      </c>
      <c r="D8" s="196">
        <v>0</v>
      </c>
      <c r="E8" s="196">
        <v>0</v>
      </c>
      <c r="F8" s="196">
        <v>0</v>
      </c>
      <c r="G8" s="196">
        <v>0</v>
      </c>
      <c r="H8" s="196">
        <v>0</v>
      </c>
      <c r="I8" s="196">
        <v>0</v>
      </c>
      <c r="J8" s="196">
        <v>0</v>
      </c>
      <c r="K8" s="196">
        <v>0</v>
      </c>
    </row>
    <row r="9" spans="1:11" x14ac:dyDescent="0.25">
      <c r="A9" s="195">
        <v>5</v>
      </c>
      <c r="B9" s="195" t="s">
        <v>1176</v>
      </c>
      <c r="C9" s="194" t="s">
        <v>1177</v>
      </c>
      <c r="D9" s="196">
        <v>0</v>
      </c>
      <c r="E9" s="196">
        <v>0</v>
      </c>
      <c r="F9" s="196">
        <v>0</v>
      </c>
      <c r="G9" s="196">
        <v>0</v>
      </c>
      <c r="H9" s="196">
        <v>0</v>
      </c>
      <c r="I9" s="196">
        <v>0</v>
      </c>
      <c r="J9" s="196">
        <v>0</v>
      </c>
      <c r="K9" s="196">
        <v>0</v>
      </c>
    </row>
    <row r="10" spans="1:11" x14ac:dyDescent="0.25">
      <c r="A10" s="195">
        <v>6</v>
      </c>
      <c r="B10" s="195" t="s">
        <v>1178</v>
      </c>
      <c r="C10" s="194" t="s">
        <v>1179</v>
      </c>
      <c r="D10" s="196">
        <v>0</v>
      </c>
      <c r="E10" s="196">
        <v>0</v>
      </c>
      <c r="F10" s="196">
        <v>0</v>
      </c>
      <c r="G10" s="196">
        <v>0</v>
      </c>
      <c r="H10" s="196">
        <v>0</v>
      </c>
      <c r="I10" s="196">
        <v>0</v>
      </c>
      <c r="J10" s="196">
        <v>0</v>
      </c>
      <c r="K10" s="196">
        <v>0</v>
      </c>
    </row>
    <row r="11" spans="1:11" x14ac:dyDescent="0.25">
      <c r="A11" s="195">
        <v>7</v>
      </c>
      <c r="B11" s="195" t="s">
        <v>1180</v>
      </c>
      <c r="C11" s="194" t="s">
        <v>1181</v>
      </c>
      <c r="D11" s="196">
        <v>0</v>
      </c>
      <c r="E11" s="196">
        <v>0</v>
      </c>
      <c r="F11" s="196">
        <v>0</v>
      </c>
      <c r="G11" s="196">
        <v>0</v>
      </c>
      <c r="H11" s="196">
        <v>0</v>
      </c>
      <c r="I11" s="196">
        <v>0</v>
      </c>
      <c r="J11" s="196">
        <v>0</v>
      </c>
      <c r="K11" s="196">
        <v>0</v>
      </c>
    </row>
    <row r="12" spans="1:11" x14ac:dyDescent="0.25">
      <c r="A12" s="195" t="s">
        <v>1182</v>
      </c>
      <c r="B12" s="195" t="s">
        <v>1183</v>
      </c>
      <c r="C12" s="194" t="s">
        <v>1184</v>
      </c>
      <c r="D12" s="196">
        <v>2662787.67</v>
      </c>
      <c r="E12" s="196">
        <v>1321952.21</v>
      </c>
      <c r="F12" s="196">
        <v>1340835.46</v>
      </c>
      <c r="G12" s="196">
        <v>0</v>
      </c>
      <c r="H12" s="196">
        <v>2662788</v>
      </c>
      <c r="I12" s="196">
        <v>1321953</v>
      </c>
      <c r="J12" s="196">
        <v>1340835</v>
      </c>
      <c r="K12" s="196">
        <v>0</v>
      </c>
    </row>
    <row r="13" spans="1:11" x14ac:dyDescent="0.25">
      <c r="A13" s="195" t="s">
        <v>1185</v>
      </c>
      <c r="B13" s="195" t="s">
        <v>1186</v>
      </c>
      <c r="C13" s="194" t="s">
        <v>1187</v>
      </c>
      <c r="D13" s="196">
        <v>103220.21</v>
      </c>
      <c r="E13" s="196">
        <v>0</v>
      </c>
      <c r="F13" s="196">
        <v>103220.21</v>
      </c>
      <c r="G13" s="196">
        <v>0</v>
      </c>
      <c r="H13" s="196">
        <v>103220</v>
      </c>
      <c r="I13" s="196">
        <v>0</v>
      </c>
      <c r="J13" s="196">
        <v>103220</v>
      </c>
      <c r="K13" s="196">
        <v>0</v>
      </c>
    </row>
    <row r="14" spans="1:11" x14ac:dyDescent="0.25">
      <c r="A14" s="195">
        <v>2</v>
      </c>
      <c r="B14" s="195" t="s">
        <v>1188</v>
      </c>
      <c r="C14" s="194" t="s">
        <v>875</v>
      </c>
      <c r="D14" s="196">
        <v>1707272.37</v>
      </c>
      <c r="E14" s="196">
        <v>672838.59</v>
      </c>
      <c r="F14" s="196">
        <v>1034433.78</v>
      </c>
      <c r="G14" s="196">
        <v>0</v>
      </c>
      <c r="H14" s="196">
        <v>1707272</v>
      </c>
      <c r="I14" s="196">
        <v>672839</v>
      </c>
      <c r="J14" s="196">
        <v>1034433</v>
      </c>
      <c r="K14" s="196">
        <v>0</v>
      </c>
    </row>
    <row r="15" spans="1:11" x14ac:dyDescent="0.25">
      <c r="A15" s="195">
        <v>3</v>
      </c>
      <c r="B15" s="195" t="s">
        <v>1189</v>
      </c>
      <c r="C15" s="194" t="s">
        <v>1190</v>
      </c>
      <c r="D15" s="196">
        <v>805377.51</v>
      </c>
      <c r="E15" s="196">
        <v>649113.62</v>
      </c>
      <c r="F15" s="196">
        <v>156263.89000000001</v>
      </c>
      <c r="G15" s="196">
        <v>0</v>
      </c>
      <c r="H15" s="196">
        <v>805378</v>
      </c>
      <c r="I15" s="196">
        <v>649114</v>
      </c>
      <c r="J15" s="196">
        <v>156264</v>
      </c>
      <c r="K15" s="196">
        <v>0</v>
      </c>
    </row>
    <row r="16" spans="1:11" x14ac:dyDescent="0.25">
      <c r="A16" s="195">
        <v>4</v>
      </c>
      <c r="B16" s="195" t="s">
        <v>1191</v>
      </c>
      <c r="C16" s="194" t="s">
        <v>1192</v>
      </c>
      <c r="D16" s="196">
        <v>0</v>
      </c>
      <c r="E16" s="196">
        <v>0</v>
      </c>
      <c r="F16" s="196">
        <v>0</v>
      </c>
      <c r="G16" s="196">
        <v>0</v>
      </c>
      <c r="H16" s="196">
        <v>0</v>
      </c>
      <c r="I16" s="196">
        <v>0</v>
      </c>
      <c r="J16" s="196">
        <v>0</v>
      </c>
      <c r="K16" s="196">
        <v>0</v>
      </c>
    </row>
    <row r="17" spans="1:11" x14ac:dyDescent="0.25">
      <c r="A17" s="195">
        <v>5</v>
      </c>
      <c r="B17" s="195" t="s">
        <v>1193</v>
      </c>
      <c r="C17" s="194" t="s">
        <v>1194</v>
      </c>
      <c r="D17" s="196">
        <v>0</v>
      </c>
      <c r="E17" s="196">
        <v>0</v>
      </c>
      <c r="F17" s="196">
        <v>0</v>
      </c>
      <c r="G17" s="196">
        <v>0</v>
      </c>
      <c r="H17" s="196">
        <v>0</v>
      </c>
      <c r="I17" s="196">
        <v>0</v>
      </c>
      <c r="J17" s="196">
        <v>0</v>
      </c>
      <c r="K17" s="196">
        <v>0</v>
      </c>
    </row>
    <row r="18" spans="1:11" x14ac:dyDescent="0.25">
      <c r="A18" s="195">
        <v>6</v>
      </c>
      <c r="B18" s="195" t="s">
        <v>1195</v>
      </c>
      <c r="C18" s="194" t="s">
        <v>1196</v>
      </c>
      <c r="D18" s="196">
        <v>0</v>
      </c>
      <c r="E18" s="196">
        <v>0</v>
      </c>
      <c r="F18" s="196">
        <v>0</v>
      </c>
      <c r="G18" s="196">
        <v>0</v>
      </c>
      <c r="H18" s="196">
        <v>0</v>
      </c>
      <c r="I18" s="196">
        <v>0</v>
      </c>
      <c r="J18" s="196">
        <v>0</v>
      </c>
      <c r="K18" s="196">
        <v>0</v>
      </c>
    </row>
    <row r="19" spans="1:11" x14ac:dyDescent="0.25">
      <c r="A19" s="195">
        <v>7</v>
      </c>
      <c r="B19" s="195" t="s">
        <v>1197</v>
      </c>
      <c r="C19" s="194" t="s">
        <v>1198</v>
      </c>
      <c r="D19" s="196">
        <v>46917.58</v>
      </c>
      <c r="E19" s="196">
        <v>0</v>
      </c>
      <c r="F19" s="196">
        <v>46917.58</v>
      </c>
      <c r="G19" s="196">
        <v>0</v>
      </c>
      <c r="H19" s="196">
        <v>46918</v>
      </c>
      <c r="I19" s="196">
        <v>0</v>
      </c>
      <c r="J19" s="196">
        <v>46918</v>
      </c>
      <c r="K19" s="196">
        <v>0</v>
      </c>
    </row>
    <row r="20" spans="1:11" x14ac:dyDescent="0.25">
      <c r="A20" s="195">
        <v>8</v>
      </c>
      <c r="B20" s="195" t="s">
        <v>1199</v>
      </c>
      <c r="C20" s="194" t="s">
        <v>1200</v>
      </c>
      <c r="D20" s="196">
        <v>0</v>
      </c>
      <c r="E20" s="196">
        <v>0</v>
      </c>
      <c r="F20" s="196">
        <v>0</v>
      </c>
      <c r="G20" s="196">
        <v>0</v>
      </c>
      <c r="H20" s="196">
        <v>0</v>
      </c>
      <c r="I20" s="196">
        <v>0</v>
      </c>
      <c r="J20" s="196">
        <v>0</v>
      </c>
      <c r="K20" s="196">
        <v>0</v>
      </c>
    </row>
    <row r="21" spans="1:11" x14ac:dyDescent="0.25">
      <c r="A21" s="195">
        <v>9</v>
      </c>
      <c r="B21" s="195" t="s">
        <v>1201</v>
      </c>
      <c r="C21" s="194" t="s">
        <v>1202</v>
      </c>
      <c r="D21" s="196">
        <v>0</v>
      </c>
      <c r="E21" s="196">
        <v>0</v>
      </c>
      <c r="F21" s="196">
        <v>0</v>
      </c>
      <c r="G21" s="196">
        <v>0</v>
      </c>
      <c r="H21" s="196">
        <v>0</v>
      </c>
      <c r="I21" s="196">
        <v>0</v>
      </c>
      <c r="J21" s="196">
        <v>0</v>
      </c>
      <c r="K21" s="196">
        <v>0</v>
      </c>
    </row>
    <row r="22" spans="1:11" x14ac:dyDescent="0.25">
      <c r="A22" s="195" t="s">
        <v>1203</v>
      </c>
      <c r="B22" s="195" t="s">
        <v>1204</v>
      </c>
      <c r="C22" s="194" t="s">
        <v>876</v>
      </c>
      <c r="D22" s="196">
        <v>0</v>
      </c>
      <c r="E22" s="196">
        <v>0</v>
      </c>
      <c r="F22" s="196">
        <v>0</v>
      </c>
      <c r="G22" s="196">
        <v>0</v>
      </c>
      <c r="H22" s="196">
        <v>0</v>
      </c>
      <c r="I22" s="196">
        <v>0</v>
      </c>
      <c r="J22" s="196">
        <v>0</v>
      </c>
      <c r="K22" s="196">
        <v>0</v>
      </c>
    </row>
    <row r="23" spans="1:11" x14ac:dyDescent="0.25">
      <c r="A23" s="195" t="s">
        <v>1205</v>
      </c>
      <c r="B23" s="195" t="s">
        <v>1206</v>
      </c>
      <c r="C23" s="194" t="s">
        <v>878</v>
      </c>
      <c r="D23" s="196">
        <v>0</v>
      </c>
      <c r="E23" s="196">
        <v>0</v>
      </c>
      <c r="F23" s="196">
        <v>0</v>
      </c>
      <c r="G23" s="196">
        <v>0</v>
      </c>
      <c r="H23" s="196">
        <v>0</v>
      </c>
      <c r="I23" s="196">
        <v>0</v>
      </c>
      <c r="J23" s="196">
        <v>0</v>
      </c>
      <c r="K23" s="196">
        <v>0</v>
      </c>
    </row>
    <row r="24" spans="1:11" x14ac:dyDescent="0.25">
      <c r="A24" s="195">
        <v>2</v>
      </c>
      <c r="B24" s="195" t="s">
        <v>1207</v>
      </c>
      <c r="C24" s="194" t="s">
        <v>1208</v>
      </c>
      <c r="D24" s="196">
        <v>0</v>
      </c>
      <c r="E24" s="196">
        <v>0</v>
      </c>
      <c r="F24" s="196">
        <v>0</v>
      </c>
      <c r="G24" s="196">
        <v>0</v>
      </c>
      <c r="H24" s="196">
        <v>0</v>
      </c>
      <c r="I24" s="196">
        <v>0</v>
      </c>
      <c r="J24" s="196">
        <v>0</v>
      </c>
      <c r="K24" s="196">
        <v>0</v>
      </c>
    </row>
    <row r="25" spans="1:11" x14ac:dyDescent="0.25">
      <c r="A25" s="195">
        <v>3</v>
      </c>
      <c r="B25" s="195" t="s">
        <v>1209</v>
      </c>
      <c r="C25" s="194" t="s">
        <v>1210</v>
      </c>
      <c r="D25" s="196">
        <v>0</v>
      </c>
      <c r="E25" s="196">
        <v>0</v>
      </c>
      <c r="F25" s="196">
        <v>0</v>
      </c>
      <c r="G25" s="196">
        <v>0</v>
      </c>
      <c r="H25" s="196">
        <v>0</v>
      </c>
      <c r="I25" s="196">
        <v>0</v>
      </c>
      <c r="J25" s="196">
        <v>0</v>
      </c>
      <c r="K25" s="196">
        <v>0</v>
      </c>
    </row>
    <row r="26" spans="1:11" x14ac:dyDescent="0.25">
      <c r="A26" s="195">
        <v>4</v>
      </c>
      <c r="B26" s="195" t="s">
        <v>1211</v>
      </c>
      <c r="C26" s="194" t="s">
        <v>1212</v>
      </c>
      <c r="D26" s="196">
        <v>0</v>
      </c>
      <c r="E26" s="196">
        <v>0</v>
      </c>
      <c r="F26" s="196">
        <v>0</v>
      </c>
      <c r="G26" s="196">
        <v>0</v>
      </c>
      <c r="H26" s="196">
        <v>0</v>
      </c>
      <c r="I26" s="196">
        <v>0</v>
      </c>
      <c r="J26" s="196">
        <v>0</v>
      </c>
      <c r="K26" s="196">
        <v>0</v>
      </c>
    </row>
    <row r="27" spans="1:11" x14ac:dyDescent="0.25">
      <c r="A27" s="195">
        <v>5</v>
      </c>
      <c r="B27" s="195" t="s">
        <v>1213</v>
      </c>
      <c r="C27" s="194" t="s">
        <v>1214</v>
      </c>
      <c r="D27" s="196">
        <v>0</v>
      </c>
      <c r="E27" s="196">
        <v>0</v>
      </c>
      <c r="F27" s="196">
        <v>0</v>
      </c>
      <c r="G27" s="196">
        <v>0</v>
      </c>
      <c r="H27" s="196">
        <v>0</v>
      </c>
      <c r="I27" s="196">
        <v>0</v>
      </c>
      <c r="J27" s="196">
        <v>0</v>
      </c>
      <c r="K27" s="196">
        <v>0</v>
      </c>
    </row>
    <row r="28" spans="1:11" x14ac:dyDescent="0.25">
      <c r="A28" s="195">
        <v>6</v>
      </c>
      <c r="B28" s="195" t="s">
        <v>1215</v>
      </c>
      <c r="C28" s="194" t="s">
        <v>1216</v>
      </c>
      <c r="D28" s="196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6">
        <v>0</v>
      </c>
    </row>
    <row r="29" spans="1:11" x14ac:dyDescent="0.25">
      <c r="A29" s="195">
        <v>7</v>
      </c>
      <c r="B29" s="195" t="s">
        <v>1217</v>
      </c>
      <c r="C29" s="194" t="s">
        <v>1218</v>
      </c>
      <c r="D29" s="196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6">
        <v>0</v>
      </c>
    </row>
    <row r="30" spans="1:11" x14ac:dyDescent="0.25">
      <c r="A30" s="195">
        <v>8</v>
      </c>
      <c r="B30" s="195" t="s">
        <v>1219</v>
      </c>
      <c r="C30" s="194" t="s">
        <v>1220</v>
      </c>
      <c r="D30" s="196">
        <v>0</v>
      </c>
      <c r="E30" s="196">
        <v>0</v>
      </c>
      <c r="F30" s="196">
        <v>0</v>
      </c>
      <c r="G30" s="196">
        <v>0</v>
      </c>
      <c r="H30" s="196">
        <v>0</v>
      </c>
      <c r="I30" s="196">
        <v>0</v>
      </c>
      <c r="J30" s="196">
        <v>0</v>
      </c>
      <c r="K30" s="196">
        <v>0</v>
      </c>
    </row>
    <row r="31" spans="1:11" x14ac:dyDescent="0.25">
      <c r="A31" s="195" t="s">
        <v>1014</v>
      </c>
      <c r="B31" s="195" t="s">
        <v>1221</v>
      </c>
      <c r="C31" s="194" t="s">
        <v>1222</v>
      </c>
      <c r="D31" s="196">
        <v>1542784.33</v>
      </c>
      <c r="E31" s="196">
        <v>77542.320000000007</v>
      </c>
      <c r="F31" s="196">
        <v>1465242.01</v>
      </c>
      <c r="G31" s="196">
        <v>0</v>
      </c>
      <c r="H31" s="196">
        <v>1542784</v>
      </c>
      <c r="I31" s="196">
        <v>77542</v>
      </c>
      <c r="J31" s="196">
        <v>1465242</v>
      </c>
      <c r="K31" s="196">
        <v>0</v>
      </c>
    </row>
    <row r="32" spans="1:11" x14ac:dyDescent="0.25">
      <c r="A32" s="195" t="s">
        <v>1223</v>
      </c>
      <c r="B32" s="195" t="s">
        <v>1224</v>
      </c>
      <c r="C32" s="194" t="s">
        <v>880</v>
      </c>
      <c r="D32" s="196">
        <v>1137429.32</v>
      </c>
      <c r="E32" s="196">
        <v>0</v>
      </c>
      <c r="F32" s="196">
        <v>1137429.32</v>
      </c>
      <c r="G32" s="196">
        <v>0</v>
      </c>
      <c r="H32" s="196">
        <v>1137429</v>
      </c>
      <c r="I32" s="196">
        <v>0</v>
      </c>
      <c r="J32" s="196">
        <v>1137429</v>
      </c>
      <c r="K32" s="196">
        <v>0</v>
      </c>
    </row>
    <row r="33" spans="1:11" x14ac:dyDescent="0.25">
      <c r="A33" s="195" t="s">
        <v>1225</v>
      </c>
      <c r="B33" s="195" t="s">
        <v>1226</v>
      </c>
      <c r="C33" s="194" t="s">
        <v>1227</v>
      </c>
      <c r="D33" s="196">
        <v>16697.21</v>
      </c>
      <c r="E33" s="196">
        <v>0</v>
      </c>
      <c r="F33" s="196">
        <v>16697.21</v>
      </c>
      <c r="G33" s="196">
        <v>0</v>
      </c>
      <c r="H33" s="196">
        <v>16697</v>
      </c>
      <c r="I33" s="196">
        <v>0</v>
      </c>
      <c r="J33" s="196">
        <v>16697</v>
      </c>
      <c r="K33" s="196">
        <v>0</v>
      </c>
    </row>
    <row r="34" spans="1:11" x14ac:dyDescent="0.25">
      <c r="A34" s="195">
        <v>2</v>
      </c>
      <c r="B34" s="195" t="s">
        <v>1228</v>
      </c>
      <c r="C34" s="194" t="s">
        <v>1229</v>
      </c>
      <c r="D34" s="196">
        <v>0</v>
      </c>
      <c r="E34" s="196">
        <v>0</v>
      </c>
      <c r="F34" s="196">
        <v>0</v>
      </c>
      <c r="G34" s="196">
        <v>0</v>
      </c>
      <c r="H34" s="196">
        <v>0</v>
      </c>
      <c r="I34" s="196">
        <v>0</v>
      </c>
      <c r="J34" s="196">
        <v>0</v>
      </c>
      <c r="K34" s="196">
        <v>0</v>
      </c>
    </row>
    <row r="35" spans="1:11" x14ac:dyDescent="0.25">
      <c r="A35" s="195">
        <v>3</v>
      </c>
      <c r="B35" s="195" t="s">
        <v>1230</v>
      </c>
      <c r="C35" s="194" t="s">
        <v>1231</v>
      </c>
      <c r="D35" s="196">
        <v>0</v>
      </c>
      <c r="E35" s="196">
        <v>0</v>
      </c>
      <c r="F35" s="196">
        <v>0</v>
      </c>
      <c r="G35" s="196">
        <v>0</v>
      </c>
      <c r="H35" s="196">
        <v>0</v>
      </c>
      <c r="I35" s="196">
        <v>0</v>
      </c>
      <c r="J35" s="196">
        <v>0</v>
      </c>
      <c r="K35" s="196">
        <v>0</v>
      </c>
    </row>
    <row r="36" spans="1:11" x14ac:dyDescent="0.25">
      <c r="A36" s="195">
        <v>4</v>
      </c>
      <c r="B36" s="195" t="s">
        <v>1232</v>
      </c>
      <c r="C36" s="194" t="s">
        <v>1233</v>
      </c>
      <c r="D36" s="196">
        <v>0</v>
      </c>
      <c r="E36" s="196">
        <v>0</v>
      </c>
      <c r="F36" s="196">
        <v>0</v>
      </c>
      <c r="G36" s="196">
        <v>0</v>
      </c>
      <c r="H36" s="196">
        <v>0</v>
      </c>
      <c r="I36" s="196">
        <v>0</v>
      </c>
      <c r="J36" s="196">
        <v>0</v>
      </c>
      <c r="K36" s="196">
        <v>0</v>
      </c>
    </row>
    <row r="37" spans="1:11" x14ac:dyDescent="0.25">
      <c r="A37" s="195">
        <v>5</v>
      </c>
      <c r="B37" s="195" t="s">
        <v>1234</v>
      </c>
      <c r="C37" s="194" t="s">
        <v>1235</v>
      </c>
      <c r="D37" s="196">
        <v>1120732.1100000001</v>
      </c>
      <c r="E37" s="196">
        <v>0</v>
      </c>
      <c r="F37" s="196">
        <v>1120732.1100000001</v>
      </c>
      <c r="G37" s="196">
        <v>0</v>
      </c>
      <c r="H37" s="196">
        <v>1120732</v>
      </c>
      <c r="I37" s="196">
        <v>0</v>
      </c>
      <c r="J37" s="196">
        <v>1120732</v>
      </c>
      <c r="K37" s="196">
        <v>0</v>
      </c>
    </row>
    <row r="38" spans="1:11" x14ac:dyDescent="0.25">
      <c r="A38" s="195">
        <v>6</v>
      </c>
      <c r="B38" s="195" t="s">
        <v>1236</v>
      </c>
      <c r="C38" s="194" t="s">
        <v>1237</v>
      </c>
      <c r="D38" s="196">
        <v>0</v>
      </c>
      <c r="E38" s="196">
        <v>0</v>
      </c>
      <c r="F38" s="196">
        <v>0</v>
      </c>
      <c r="G38" s="196">
        <v>0</v>
      </c>
      <c r="H38" s="196">
        <v>0</v>
      </c>
      <c r="I38" s="196">
        <v>0</v>
      </c>
      <c r="J38" s="196">
        <v>0</v>
      </c>
      <c r="K38" s="196">
        <v>0</v>
      </c>
    </row>
    <row r="39" spans="1:11" x14ac:dyDescent="0.25">
      <c r="A39" s="195" t="s">
        <v>1238</v>
      </c>
      <c r="B39" s="195" t="s">
        <v>1239</v>
      </c>
      <c r="C39" s="194" t="s">
        <v>1240</v>
      </c>
      <c r="D39" s="196">
        <v>0</v>
      </c>
      <c r="E39" s="196">
        <v>0</v>
      </c>
      <c r="F39" s="196">
        <v>0</v>
      </c>
      <c r="G39" s="196">
        <v>0</v>
      </c>
      <c r="H39" s="196">
        <v>0</v>
      </c>
      <c r="I39" s="196">
        <v>0</v>
      </c>
      <c r="J39" s="196">
        <v>0</v>
      </c>
      <c r="K39" s="196">
        <v>0</v>
      </c>
    </row>
    <row r="40" spans="1:11" x14ac:dyDescent="0.25">
      <c r="A40" s="195" t="s">
        <v>1241</v>
      </c>
      <c r="B40" s="195" t="s">
        <v>1242</v>
      </c>
      <c r="C40" s="194" t="s">
        <v>1243</v>
      </c>
      <c r="D40" s="196">
        <v>0</v>
      </c>
      <c r="E40" s="196">
        <v>0</v>
      </c>
      <c r="F40" s="196">
        <v>0</v>
      </c>
      <c r="G40" s="196">
        <v>0</v>
      </c>
      <c r="H40" s="196">
        <v>0</v>
      </c>
      <c r="I40" s="196">
        <v>0</v>
      </c>
      <c r="J40" s="196">
        <v>0</v>
      </c>
      <c r="K40" s="196">
        <v>0</v>
      </c>
    </row>
    <row r="41" spans="1:11" x14ac:dyDescent="0.25">
      <c r="A41" s="195">
        <v>2</v>
      </c>
      <c r="B41" s="195" t="s">
        <v>1244</v>
      </c>
      <c r="C41" s="194" t="s">
        <v>1245</v>
      </c>
      <c r="D41" s="196">
        <v>0</v>
      </c>
      <c r="E41" s="196">
        <v>0</v>
      </c>
      <c r="F41" s="196">
        <v>0</v>
      </c>
      <c r="G41" s="196">
        <v>0</v>
      </c>
      <c r="H41" s="196">
        <v>0</v>
      </c>
      <c r="I41" s="196">
        <v>0</v>
      </c>
      <c r="J41" s="196">
        <v>0</v>
      </c>
      <c r="K41" s="196">
        <v>0</v>
      </c>
    </row>
    <row r="42" spans="1:11" x14ac:dyDescent="0.25">
      <c r="A42" s="195">
        <v>3</v>
      </c>
      <c r="B42" s="195" t="s">
        <v>1246</v>
      </c>
      <c r="C42" s="194" t="s">
        <v>1247</v>
      </c>
      <c r="D42" s="196">
        <v>0</v>
      </c>
      <c r="E42" s="196">
        <v>0</v>
      </c>
      <c r="F42" s="196">
        <v>0</v>
      </c>
      <c r="G42" s="196">
        <v>0</v>
      </c>
      <c r="H42" s="196">
        <v>0</v>
      </c>
      <c r="I42" s="196">
        <v>0</v>
      </c>
      <c r="J42" s="196">
        <v>0</v>
      </c>
      <c r="K42" s="196">
        <v>0</v>
      </c>
    </row>
    <row r="43" spans="1:11" x14ac:dyDescent="0.25">
      <c r="A43" s="195">
        <v>4</v>
      </c>
      <c r="B43" s="195" t="s">
        <v>1248</v>
      </c>
      <c r="C43" s="194" t="s">
        <v>881</v>
      </c>
      <c r="D43" s="196">
        <v>0</v>
      </c>
      <c r="E43" s="196">
        <v>0</v>
      </c>
      <c r="F43" s="196">
        <v>0</v>
      </c>
      <c r="G43" s="196">
        <v>0</v>
      </c>
      <c r="H43" s="196">
        <v>0</v>
      </c>
      <c r="I43" s="196">
        <v>0</v>
      </c>
      <c r="J43" s="196">
        <v>0</v>
      </c>
      <c r="K43" s="196">
        <v>0</v>
      </c>
    </row>
    <row r="44" spans="1:11" x14ac:dyDescent="0.25">
      <c r="A44" s="195">
        <v>5</v>
      </c>
      <c r="B44" s="195" t="s">
        <v>1249</v>
      </c>
      <c r="C44" s="194" t="s">
        <v>1250</v>
      </c>
      <c r="D44" s="196">
        <v>0</v>
      </c>
      <c r="E44" s="196">
        <v>0</v>
      </c>
      <c r="F44" s="196">
        <v>0</v>
      </c>
      <c r="G44" s="196">
        <v>0</v>
      </c>
      <c r="H44" s="196">
        <v>0</v>
      </c>
      <c r="I44" s="196">
        <v>0</v>
      </c>
      <c r="J44" s="196">
        <v>0</v>
      </c>
      <c r="K44" s="196">
        <v>0</v>
      </c>
    </row>
    <row r="45" spans="1:11" x14ac:dyDescent="0.25">
      <c r="A45" s="195">
        <v>6</v>
      </c>
      <c r="B45" s="195" t="s">
        <v>1251</v>
      </c>
      <c r="C45" s="194" t="s">
        <v>1252</v>
      </c>
      <c r="D45" s="196">
        <v>0</v>
      </c>
      <c r="E45" s="196">
        <v>0</v>
      </c>
      <c r="F45" s="196">
        <v>0</v>
      </c>
      <c r="G45" s="196">
        <v>0</v>
      </c>
      <c r="H45" s="196">
        <v>0</v>
      </c>
      <c r="I45" s="196">
        <v>0</v>
      </c>
      <c r="J45" s="196">
        <v>0</v>
      </c>
      <c r="K45" s="196">
        <v>0</v>
      </c>
    </row>
    <row r="46" spans="1:11" x14ac:dyDescent="0.25">
      <c r="A46" s="195">
        <v>7</v>
      </c>
      <c r="B46" s="195" t="s">
        <v>1253</v>
      </c>
      <c r="C46" s="194" t="s">
        <v>1254</v>
      </c>
      <c r="D46" s="196">
        <v>0</v>
      </c>
      <c r="E46" s="196">
        <v>0</v>
      </c>
      <c r="F46" s="196">
        <v>0</v>
      </c>
      <c r="G46" s="196">
        <v>0</v>
      </c>
      <c r="H46" s="196">
        <v>0</v>
      </c>
      <c r="I46" s="196">
        <v>0</v>
      </c>
      <c r="J46" s="196">
        <v>0</v>
      </c>
      <c r="K46" s="196">
        <v>0</v>
      </c>
    </row>
    <row r="47" spans="1:11" x14ac:dyDescent="0.25">
      <c r="A47" s="195" t="s">
        <v>1255</v>
      </c>
      <c r="B47" s="195" t="s">
        <v>1256</v>
      </c>
      <c r="C47" s="194" t="s">
        <v>1257</v>
      </c>
      <c r="D47" s="196">
        <v>378712.84</v>
      </c>
      <c r="E47" s="196">
        <v>77542.320000000007</v>
      </c>
      <c r="F47" s="196">
        <v>301170.52</v>
      </c>
      <c r="G47" s="196">
        <v>0</v>
      </c>
      <c r="H47" s="196">
        <v>378713</v>
      </c>
      <c r="I47" s="196">
        <v>77542</v>
      </c>
      <c r="J47" s="196">
        <v>301171</v>
      </c>
      <c r="K47" s="196">
        <v>0</v>
      </c>
    </row>
    <row r="48" spans="1:11" x14ac:dyDescent="0.25">
      <c r="A48" s="195" t="s">
        <v>1258</v>
      </c>
      <c r="B48" s="195" t="s">
        <v>1242</v>
      </c>
      <c r="C48" s="194" t="s">
        <v>1259</v>
      </c>
      <c r="D48" s="196">
        <v>311840.17</v>
      </c>
      <c r="E48" s="196">
        <v>77542.320000000007</v>
      </c>
      <c r="F48" s="196">
        <v>234297.85</v>
      </c>
      <c r="G48" s="196">
        <v>0</v>
      </c>
      <c r="H48" s="196">
        <v>311840</v>
      </c>
      <c r="I48" s="196">
        <v>77542</v>
      </c>
      <c r="J48" s="196">
        <v>234298</v>
      </c>
      <c r="K48" s="196">
        <v>0</v>
      </c>
    </row>
    <row r="49" spans="1:11" x14ac:dyDescent="0.25">
      <c r="A49" s="195">
        <v>2</v>
      </c>
      <c r="B49" s="195" t="s">
        <v>1244</v>
      </c>
      <c r="C49" s="194" t="s">
        <v>1260</v>
      </c>
      <c r="D49" s="196">
        <v>0</v>
      </c>
      <c r="E49" s="196">
        <v>0</v>
      </c>
      <c r="F49" s="196">
        <v>0</v>
      </c>
      <c r="G49" s="196">
        <v>0</v>
      </c>
      <c r="H49" s="196">
        <v>0</v>
      </c>
      <c r="I49" s="196">
        <v>0</v>
      </c>
      <c r="J49" s="196">
        <v>0</v>
      </c>
      <c r="K49" s="196">
        <v>0</v>
      </c>
    </row>
    <row r="50" spans="1:11" x14ac:dyDescent="0.25">
      <c r="A50" s="195">
        <v>3</v>
      </c>
      <c r="B50" s="195" t="s">
        <v>1246</v>
      </c>
      <c r="C50" s="194" t="s">
        <v>1261</v>
      </c>
      <c r="D50" s="196">
        <v>0</v>
      </c>
      <c r="E50" s="196">
        <v>0</v>
      </c>
      <c r="F50" s="196">
        <v>0</v>
      </c>
      <c r="G50" s="196">
        <v>0</v>
      </c>
      <c r="H50" s="196">
        <v>0</v>
      </c>
      <c r="I50" s="196">
        <v>0</v>
      </c>
      <c r="J50" s="196">
        <v>0</v>
      </c>
      <c r="K50" s="196">
        <v>0</v>
      </c>
    </row>
    <row r="51" spans="1:11" x14ac:dyDescent="0.25">
      <c r="A51" s="195">
        <v>4</v>
      </c>
      <c r="B51" s="195" t="s">
        <v>1248</v>
      </c>
      <c r="C51" s="194" t="s">
        <v>1262</v>
      </c>
      <c r="D51" s="196">
        <v>0</v>
      </c>
      <c r="E51" s="196">
        <v>0</v>
      </c>
      <c r="F51" s="196">
        <v>0</v>
      </c>
      <c r="G51" s="196">
        <v>0</v>
      </c>
      <c r="H51" s="196">
        <v>0</v>
      </c>
      <c r="I51" s="196">
        <v>0</v>
      </c>
      <c r="J51" s="196">
        <v>0</v>
      </c>
      <c r="K51" s="196">
        <v>0</v>
      </c>
    </row>
    <row r="52" spans="1:11" x14ac:dyDescent="0.25">
      <c r="A52" s="195">
        <v>5</v>
      </c>
      <c r="B52" s="195" t="s">
        <v>1263</v>
      </c>
      <c r="C52" s="194" t="s">
        <v>1264</v>
      </c>
      <c r="D52" s="196">
        <v>0</v>
      </c>
      <c r="E52" s="196">
        <v>0</v>
      </c>
      <c r="F52" s="196">
        <v>0</v>
      </c>
      <c r="G52" s="196">
        <v>0</v>
      </c>
      <c r="H52" s="196">
        <v>0</v>
      </c>
      <c r="I52" s="196">
        <v>0</v>
      </c>
      <c r="J52" s="196">
        <v>0</v>
      </c>
      <c r="K52" s="196">
        <v>0</v>
      </c>
    </row>
    <row r="53" spans="1:11" x14ac:dyDescent="0.25">
      <c r="A53" s="195">
        <v>6</v>
      </c>
      <c r="B53" s="195" t="s">
        <v>1265</v>
      </c>
      <c r="C53" s="194" t="s">
        <v>1266</v>
      </c>
      <c r="D53" s="196">
        <v>0</v>
      </c>
      <c r="E53" s="196">
        <v>0</v>
      </c>
      <c r="F53" s="196">
        <v>0</v>
      </c>
      <c r="G53" s="196">
        <v>0</v>
      </c>
      <c r="H53" s="196">
        <v>0</v>
      </c>
      <c r="I53" s="196">
        <v>0</v>
      </c>
      <c r="J53" s="196">
        <v>0</v>
      </c>
      <c r="K53" s="196">
        <v>0</v>
      </c>
    </row>
    <row r="54" spans="1:11" x14ac:dyDescent="0.25">
      <c r="A54" s="195">
        <v>7</v>
      </c>
      <c r="B54" s="195" t="s">
        <v>1267</v>
      </c>
      <c r="C54" s="194" t="s">
        <v>1268</v>
      </c>
      <c r="D54" s="196">
        <v>6360.14</v>
      </c>
      <c r="E54" s="196">
        <v>0</v>
      </c>
      <c r="F54" s="196">
        <v>6360.14</v>
      </c>
      <c r="G54" s="196">
        <v>0</v>
      </c>
      <c r="H54" s="196">
        <v>6360</v>
      </c>
      <c r="I54" s="196">
        <v>0</v>
      </c>
      <c r="J54" s="196">
        <v>6360</v>
      </c>
      <c r="K54" s="196">
        <v>0</v>
      </c>
    </row>
    <row r="55" spans="1:11" x14ac:dyDescent="0.25">
      <c r="A55" s="195">
        <v>8</v>
      </c>
      <c r="B55" s="195" t="s">
        <v>1251</v>
      </c>
      <c r="C55" s="194" t="s">
        <v>1269</v>
      </c>
      <c r="D55" s="196">
        <v>60512.53</v>
      </c>
      <c r="E55" s="196">
        <v>0</v>
      </c>
      <c r="F55" s="196">
        <v>60512.53</v>
      </c>
      <c r="G55" s="196">
        <v>0</v>
      </c>
      <c r="H55" s="196">
        <v>60513</v>
      </c>
      <c r="I55" s="196">
        <v>0</v>
      </c>
      <c r="J55" s="196">
        <v>60513</v>
      </c>
      <c r="K55" s="196">
        <v>0</v>
      </c>
    </row>
    <row r="56" spans="1:11" x14ac:dyDescent="0.25">
      <c r="A56" s="195" t="s">
        <v>1270</v>
      </c>
      <c r="B56" s="195" t="s">
        <v>1271</v>
      </c>
      <c r="C56" s="194" t="s">
        <v>1272</v>
      </c>
      <c r="D56" s="196">
        <v>26642.17</v>
      </c>
      <c r="E56" s="196">
        <v>0</v>
      </c>
      <c r="F56" s="196">
        <v>26642.17</v>
      </c>
      <c r="G56" s="196">
        <v>0</v>
      </c>
      <c r="H56" s="196">
        <v>26642</v>
      </c>
      <c r="I56" s="196">
        <v>0</v>
      </c>
      <c r="J56" s="196">
        <v>26642</v>
      </c>
      <c r="K56" s="196">
        <v>0</v>
      </c>
    </row>
    <row r="57" spans="1:11" x14ac:dyDescent="0.25">
      <c r="A57" s="195" t="s">
        <v>1273</v>
      </c>
      <c r="B57" s="195" t="s">
        <v>1274</v>
      </c>
      <c r="C57" s="194" t="s">
        <v>1275</v>
      </c>
      <c r="D57" s="196">
        <v>26642.17</v>
      </c>
      <c r="E57" s="196">
        <v>0</v>
      </c>
      <c r="F57" s="196">
        <v>26642.17</v>
      </c>
      <c r="G57" s="196">
        <v>0</v>
      </c>
      <c r="H57" s="196">
        <v>26642</v>
      </c>
      <c r="I57" s="196">
        <v>0</v>
      </c>
      <c r="J57" s="196">
        <v>26642</v>
      </c>
      <c r="K57" s="196">
        <v>0</v>
      </c>
    </row>
    <row r="58" spans="1:11" x14ac:dyDescent="0.25">
      <c r="A58" s="195">
        <v>2</v>
      </c>
      <c r="B58" s="195" t="s">
        <v>1276</v>
      </c>
      <c r="C58" s="194" t="s">
        <v>1277</v>
      </c>
      <c r="D58" s="196">
        <v>0</v>
      </c>
      <c r="E58" s="196">
        <v>0</v>
      </c>
      <c r="F58" s="196">
        <v>0</v>
      </c>
      <c r="G58" s="196">
        <v>0</v>
      </c>
      <c r="H58" s="196">
        <v>0</v>
      </c>
      <c r="I58" s="196">
        <v>0</v>
      </c>
      <c r="J58" s="196">
        <v>0</v>
      </c>
      <c r="K58" s="196">
        <v>0</v>
      </c>
    </row>
    <row r="59" spans="1:11" x14ac:dyDescent="0.25">
      <c r="A59" s="195">
        <v>3</v>
      </c>
      <c r="B59" s="195" t="s">
        <v>1278</v>
      </c>
      <c r="C59" s="194" t="s">
        <v>1279</v>
      </c>
      <c r="D59" s="196">
        <v>0</v>
      </c>
      <c r="E59" s="196">
        <v>0</v>
      </c>
      <c r="F59" s="196">
        <v>0</v>
      </c>
      <c r="G59" s="196">
        <v>0</v>
      </c>
      <c r="H59" s="196">
        <v>0</v>
      </c>
      <c r="I59" s="196">
        <v>0</v>
      </c>
      <c r="J59" s="196">
        <v>0</v>
      </c>
      <c r="K59" s="196">
        <v>0</v>
      </c>
    </row>
    <row r="60" spans="1:11" x14ac:dyDescent="0.25">
      <c r="A60" s="195">
        <v>4</v>
      </c>
      <c r="B60" s="195" t="s">
        <v>1280</v>
      </c>
      <c r="C60" s="194" t="s">
        <v>1281</v>
      </c>
      <c r="D60" s="196">
        <v>0</v>
      </c>
      <c r="E60" s="196">
        <v>0</v>
      </c>
      <c r="F60" s="196">
        <v>0</v>
      </c>
      <c r="G60" s="196">
        <v>0</v>
      </c>
      <c r="H60" s="196">
        <v>0</v>
      </c>
      <c r="I60" s="196">
        <v>0</v>
      </c>
      <c r="J60" s="196">
        <v>0</v>
      </c>
      <c r="K60" s="196">
        <v>0</v>
      </c>
    </row>
    <row r="61" spans="1:11" x14ac:dyDescent="0.25">
      <c r="A61" s="195">
        <v>5</v>
      </c>
      <c r="B61" s="195" t="s">
        <v>1282</v>
      </c>
      <c r="C61" s="194" t="s">
        <v>1283</v>
      </c>
      <c r="D61" s="196">
        <v>0</v>
      </c>
      <c r="E61" s="196">
        <v>0</v>
      </c>
      <c r="F61" s="196">
        <v>0</v>
      </c>
      <c r="G61" s="196">
        <v>0</v>
      </c>
      <c r="H61" s="196">
        <v>0</v>
      </c>
      <c r="I61" s="196">
        <v>0</v>
      </c>
      <c r="J61" s="196">
        <v>0</v>
      </c>
      <c r="K61" s="196">
        <v>0</v>
      </c>
    </row>
    <row r="62" spans="1:11" x14ac:dyDescent="0.25">
      <c r="A62" s="195" t="s">
        <v>1024</v>
      </c>
      <c r="B62" s="195" t="s">
        <v>1284</v>
      </c>
      <c r="C62" s="194" t="s">
        <v>1285</v>
      </c>
      <c r="D62" s="196">
        <v>4930.22</v>
      </c>
      <c r="E62" s="196">
        <v>0</v>
      </c>
      <c r="F62" s="196">
        <v>4930.22</v>
      </c>
      <c r="G62" s="196">
        <v>0</v>
      </c>
      <c r="H62" s="196">
        <v>4930</v>
      </c>
      <c r="I62" s="196">
        <v>0</v>
      </c>
      <c r="J62" s="196">
        <v>4930</v>
      </c>
      <c r="K62" s="196">
        <v>0</v>
      </c>
    </row>
    <row r="63" spans="1:11" x14ac:dyDescent="0.25">
      <c r="A63" s="195" t="s">
        <v>1027</v>
      </c>
      <c r="B63" s="195" t="s">
        <v>1286</v>
      </c>
      <c r="C63" s="194" t="s">
        <v>1287</v>
      </c>
      <c r="D63" s="196">
        <v>4930.22</v>
      </c>
      <c r="E63" s="196">
        <v>0</v>
      </c>
      <c r="F63" s="196">
        <v>4930.22</v>
      </c>
      <c r="G63" s="196">
        <v>0</v>
      </c>
      <c r="H63" s="196">
        <v>4930</v>
      </c>
      <c r="I63" s="196">
        <v>0</v>
      </c>
      <c r="J63" s="196">
        <v>4930</v>
      </c>
      <c r="K63" s="196">
        <v>0</v>
      </c>
    </row>
    <row r="64" spans="1:11" x14ac:dyDescent="0.25">
      <c r="A64" s="195">
        <v>2</v>
      </c>
      <c r="B64" s="195" t="s">
        <v>1288</v>
      </c>
      <c r="C64" s="194" t="s">
        <v>1289</v>
      </c>
      <c r="D64" s="196">
        <v>0</v>
      </c>
      <c r="E64" s="196">
        <v>0</v>
      </c>
      <c r="F64" s="196">
        <v>0</v>
      </c>
      <c r="G64" s="196">
        <v>0</v>
      </c>
      <c r="H64" s="196">
        <v>0</v>
      </c>
      <c r="I64" s="196">
        <v>0</v>
      </c>
      <c r="J64" s="196">
        <v>0</v>
      </c>
      <c r="K64" s="196">
        <v>0</v>
      </c>
    </row>
    <row r="65" spans="1:11" x14ac:dyDescent="0.25">
      <c r="A65" s="195">
        <v>3</v>
      </c>
      <c r="B65" s="195" t="s">
        <v>1290</v>
      </c>
      <c r="C65" s="194" t="s">
        <v>1291</v>
      </c>
      <c r="D65" s="196">
        <v>0</v>
      </c>
      <c r="E65" s="196">
        <v>0</v>
      </c>
      <c r="F65" s="196">
        <v>0</v>
      </c>
      <c r="G65" s="196">
        <v>0</v>
      </c>
      <c r="H65" s="196">
        <v>0</v>
      </c>
      <c r="I65" s="196">
        <v>0</v>
      </c>
      <c r="J65" s="196">
        <v>0</v>
      </c>
      <c r="K65" s="196">
        <v>0</v>
      </c>
    </row>
    <row r="66" spans="1:11" x14ac:dyDescent="0.25">
      <c r="A66" s="195">
        <v>4</v>
      </c>
      <c r="B66" s="195" t="s">
        <v>1292</v>
      </c>
      <c r="C66" s="194" t="s">
        <v>1293</v>
      </c>
      <c r="D66" s="196">
        <v>0</v>
      </c>
      <c r="E66" s="196">
        <v>0</v>
      </c>
      <c r="F66" s="196">
        <v>0</v>
      </c>
      <c r="G66" s="196">
        <v>0</v>
      </c>
      <c r="H66" s="196">
        <v>0</v>
      </c>
      <c r="I66" s="196">
        <v>0</v>
      </c>
      <c r="J66" s="196">
        <v>0</v>
      </c>
      <c r="K66" s="196">
        <v>0</v>
      </c>
    </row>
    <row r="67" spans="1:11" x14ac:dyDescent="0.25">
      <c r="B67" s="195" t="s">
        <v>1294</v>
      </c>
      <c r="C67" s="194" t="s">
        <v>1295</v>
      </c>
      <c r="D67" s="196">
        <v>16896466.140000001</v>
      </c>
      <c r="E67" s="196">
        <v>5657365.5999999996</v>
      </c>
      <c r="F67" s="196">
        <v>11239100.539999999</v>
      </c>
      <c r="G67" s="196">
        <v>0</v>
      </c>
      <c r="H67" s="196">
        <v>16896466</v>
      </c>
      <c r="I67" s="196">
        <v>5657368</v>
      </c>
      <c r="J67" s="196">
        <v>11239098</v>
      </c>
      <c r="K67" s="196">
        <v>0</v>
      </c>
    </row>
  </sheetData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1"/>
  <sheetViews>
    <sheetView topLeftCell="A40" workbookViewId="0">
      <selection activeCell="B14" sqref="B14"/>
    </sheetView>
  </sheetViews>
  <sheetFormatPr defaultRowHeight="15" x14ac:dyDescent="0.25"/>
  <cols>
    <col min="1" max="1" width="8.28515625" style="195" bestFit="1" customWidth="1"/>
    <col min="2" max="2" width="79.42578125" style="195" bestFit="1" customWidth="1"/>
    <col min="3" max="3" width="4.42578125" style="194" bestFit="1" customWidth="1"/>
    <col min="4" max="7" width="15.28515625" style="196" bestFit="1" customWidth="1"/>
    <col min="8" max="16384" width="9.140625" style="190"/>
  </cols>
  <sheetData>
    <row r="1" spans="1:7" ht="22.5" x14ac:dyDescent="0.25">
      <c r="A1" s="201" t="s">
        <v>503</v>
      </c>
      <c r="B1" s="201" t="s">
        <v>509</v>
      </c>
      <c r="C1" s="200" t="s">
        <v>526</v>
      </c>
      <c r="D1" s="202" t="s">
        <v>533</v>
      </c>
      <c r="E1" s="202" t="s">
        <v>534</v>
      </c>
      <c r="F1" s="202" t="s">
        <v>510</v>
      </c>
      <c r="G1" s="202" t="s">
        <v>508</v>
      </c>
    </row>
    <row r="2" spans="1:7" x14ac:dyDescent="0.25">
      <c r="B2" s="195" t="s">
        <v>1296</v>
      </c>
      <c r="C2" s="194" t="s">
        <v>1297</v>
      </c>
      <c r="D2" s="196">
        <v>2811007.69</v>
      </c>
      <c r="E2" s="196">
        <v>0</v>
      </c>
      <c r="F2" s="196">
        <v>2811007</v>
      </c>
      <c r="G2" s="196">
        <v>0</v>
      </c>
    </row>
    <row r="3" spans="1:7" x14ac:dyDescent="0.25">
      <c r="A3" s="195" t="s">
        <v>998</v>
      </c>
      <c r="B3" s="195" t="s">
        <v>1298</v>
      </c>
      <c r="C3" s="194" t="s">
        <v>1299</v>
      </c>
      <c r="D3" s="193">
        <v>970210.48</v>
      </c>
      <c r="E3" s="193">
        <v>0</v>
      </c>
      <c r="F3" s="193">
        <v>970210</v>
      </c>
      <c r="G3" s="193">
        <v>0</v>
      </c>
    </row>
    <row r="4" spans="1:7" x14ac:dyDescent="0.25">
      <c r="A4" s="195" t="s">
        <v>1164</v>
      </c>
      <c r="B4" s="195" t="s">
        <v>1300</v>
      </c>
      <c r="C4" s="194" t="s">
        <v>1301</v>
      </c>
      <c r="D4" s="196">
        <v>102902</v>
      </c>
      <c r="E4" s="196">
        <v>0</v>
      </c>
      <c r="F4" s="196">
        <v>102902</v>
      </c>
      <c r="G4" s="196">
        <v>0</v>
      </c>
    </row>
    <row r="5" spans="1:7" x14ac:dyDescent="0.25">
      <c r="A5" s="195" t="s">
        <v>1302</v>
      </c>
      <c r="B5" s="195" t="s">
        <v>1303</v>
      </c>
      <c r="C5" s="194" t="s">
        <v>1304</v>
      </c>
      <c r="D5" s="196">
        <v>102902</v>
      </c>
      <c r="E5" s="196">
        <v>0</v>
      </c>
      <c r="F5" s="196">
        <v>102902</v>
      </c>
      <c r="G5" s="196">
        <v>0</v>
      </c>
    </row>
    <row r="6" spans="1:7" x14ac:dyDescent="0.25">
      <c r="A6" s="195">
        <v>2</v>
      </c>
      <c r="B6" s="195" t="s">
        <v>1305</v>
      </c>
      <c r="C6" s="194" t="s">
        <v>1306</v>
      </c>
      <c r="D6" s="196">
        <v>0</v>
      </c>
      <c r="E6" s="196">
        <v>0</v>
      </c>
      <c r="F6" s="196">
        <v>0</v>
      </c>
      <c r="G6" s="196">
        <v>0</v>
      </c>
    </row>
    <row r="7" spans="1:7" x14ac:dyDescent="0.25">
      <c r="A7" s="195">
        <v>3</v>
      </c>
      <c r="B7" s="195" t="s">
        <v>1307</v>
      </c>
      <c r="C7" s="194" t="s">
        <v>1308</v>
      </c>
      <c r="D7" s="196">
        <v>0</v>
      </c>
      <c r="E7" s="196">
        <v>0</v>
      </c>
      <c r="F7" s="196">
        <v>0</v>
      </c>
      <c r="G7" s="196">
        <v>0</v>
      </c>
    </row>
    <row r="8" spans="1:7" x14ac:dyDescent="0.25">
      <c r="A8" s="195">
        <v>4</v>
      </c>
      <c r="B8" s="195" t="s">
        <v>1309</v>
      </c>
      <c r="C8" s="194" t="s">
        <v>1310</v>
      </c>
      <c r="D8" s="196">
        <v>0</v>
      </c>
      <c r="E8" s="196">
        <v>0</v>
      </c>
      <c r="F8" s="196">
        <v>0</v>
      </c>
      <c r="G8" s="196">
        <v>0</v>
      </c>
    </row>
    <row r="9" spans="1:7" x14ac:dyDescent="0.25">
      <c r="A9" s="195" t="s">
        <v>1182</v>
      </c>
      <c r="B9" s="195" t="s">
        <v>1311</v>
      </c>
      <c r="C9" s="194" t="s">
        <v>882</v>
      </c>
      <c r="D9" s="196">
        <v>0</v>
      </c>
      <c r="E9" s="196">
        <v>0</v>
      </c>
      <c r="F9" s="196">
        <v>0</v>
      </c>
      <c r="G9" s="196">
        <v>0</v>
      </c>
    </row>
    <row r="10" spans="1:7" x14ac:dyDescent="0.25">
      <c r="A10" s="195" t="s">
        <v>1185</v>
      </c>
      <c r="B10" s="195" t="s">
        <v>1312</v>
      </c>
      <c r="C10" s="194" t="s">
        <v>1313</v>
      </c>
      <c r="D10" s="196">
        <v>0</v>
      </c>
      <c r="E10" s="196">
        <v>0</v>
      </c>
      <c r="F10" s="196">
        <v>0</v>
      </c>
      <c r="G10" s="196">
        <v>0</v>
      </c>
    </row>
    <row r="11" spans="1:7" x14ac:dyDescent="0.25">
      <c r="A11" s="195">
        <v>2</v>
      </c>
      <c r="B11" s="195" t="s">
        <v>1314</v>
      </c>
      <c r="C11" s="194" t="s">
        <v>1315</v>
      </c>
      <c r="D11" s="196">
        <v>0</v>
      </c>
      <c r="E11" s="196">
        <v>0</v>
      </c>
      <c r="F11" s="196">
        <v>0</v>
      </c>
      <c r="G11" s="196">
        <v>0</v>
      </c>
    </row>
    <row r="12" spans="1:7" x14ac:dyDescent="0.25">
      <c r="A12" s="195">
        <v>3</v>
      </c>
      <c r="B12" s="195" t="s">
        <v>1316</v>
      </c>
      <c r="C12" s="194" t="s">
        <v>1317</v>
      </c>
      <c r="D12" s="196">
        <v>0</v>
      </c>
      <c r="E12" s="196">
        <v>0</v>
      </c>
      <c r="F12" s="196">
        <v>0</v>
      </c>
      <c r="G12" s="196">
        <v>0</v>
      </c>
    </row>
    <row r="13" spans="1:7" x14ac:dyDescent="0.25">
      <c r="A13" s="195">
        <v>4</v>
      </c>
      <c r="B13" s="195" t="s">
        <v>1318</v>
      </c>
      <c r="C13" s="194" t="s">
        <v>1319</v>
      </c>
      <c r="D13" s="196">
        <v>0</v>
      </c>
      <c r="E13" s="196">
        <v>0</v>
      </c>
      <c r="F13" s="196">
        <v>0</v>
      </c>
      <c r="G13" s="196">
        <v>0</v>
      </c>
    </row>
    <row r="14" spans="1:7" x14ac:dyDescent="0.25">
      <c r="A14" s="195">
        <v>5</v>
      </c>
      <c r="B14" s="195" t="s">
        <v>1320</v>
      </c>
      <c r="C14" s="194" t="s">
        <v>1321</v>
      </c>
      <c r="D14" s="196">
        <v>0</v>
      </c>
      <c r="E14" s="196">
        <v>0</v>
      </c>
      <c r="F14" s="196">
        <v>0</v>
      </c>
      <c r="G14" s="196">
        <v>0</v>
      </c>
    </row>
    <row r="15" spans="1:7" x14ac:dyDescent="0.25">
      <c r="A15" s="195">
        <v>6</v>
      </c>
      <c r="B15" s="195" t="s">
        <v>1322</v>
      </c>
      <c r="C15" s="194" t="s">
        <v>1323</v>
      </c>
      <c r="D15" s="196">
        <v>0</v>
      </c>
      <c r="E15" s="196">
        <v>0</v>
      </c>
      <c r="F15" s="196">
        <v>0</v>
      </c>
      <c r="G15" s="196">
        <v>0</v>
      </c>
    </row>
    <row r="16" spans="1:7" x14ac:dyDescent="0.25">
      <c r="A16" s="195" t="s">
        <v>1203</v>
      </c>
      <c r="B16" s="195" t="s">
        <v>1324</v>
      </c>
      <c r="C16" s="194" t="s">
        <v>1325</v>
      </c>
      <c r="D16" s="196">
        <v>15524.4</v>
      </c>
      <c r="E16" s="196">
        <v>0</v>
      </c>
      <c r="F16" s="196">
        <v>15524</v>
      </c>
      <c r="G16" s="196">
        <v>0</v>
      </c>
    </row>
    <row r="17" spans="1:7" x14ac:dyDescent="0.25">
      <c r="A17" s="195" t="s">
        <v>1205</v>
      </c>
      <c r="B17" s="195" t="s">
        <v>1326</v>
      </c>
      <c r="C17" s="194" t="s">
        <v>883</v>
      </c>
      <c r="D17" s="196">
        <v>15524.4</v>
      </c>
      <c r="E17" s="196">
        <v>0</v>
      </c>
      <c r="F17" s="196">
        <v>15524</v>
      </c>
      <c r="G17" s="196">
        <v>0</v>
      </c>
    </row>
    <row r="18" spans="1:7" x14ac:dyDescent="0.25">
      <c r="A18" s="195">
        <v>2</v>
      </c>
      <c r="B18" s="195" t="s">
        <v>1327</v>
      </c>
      <c r="C18" s="194" t="s">
        <v>885</v>
      </c>
      <c r="D18" s="196">
        <v>0</v>
      </c>
      <c r="E18" s="196">
        <v>0</v>
      </c>
      <c r="F18" s="196">
        <v>0</v>
      </c>
      <c r="G18" s="196">
        <v>0</v>
      </c>
    </row>
    <row r="19" spans="1:7" x14ac:dyDescent="0.25">
      <c r="A19" s="195">
        <v>3</v>
      </c>
      <c r="B19" s="195" t="s">
        <v>1328</v>
      </c>
      <c r="C19" s="194" t="s">
        <v>1329</v>
      </c>
      <c r="D19" s="196">
        <v>0</v>
      </c>
      <c r="E19" s="196">
        <v>0</v>
      </c>
      <c r="F19" s="196">
        <v>0</v>
      </c>
      <c r="G19" s="196">
        <v>0</v>
      </c>
    </row>
    <row r="20" spans="1:7" x14ac:dyDescent="0.25">
      <c r="A20" s="195" t="s">
        <v>1330</v>
      </c>
      <c r="B20" s="195" t="s">
        <v>1331</v>
      </c>
      <c r="C20" s="194" t="s">
        <v>1332</v>
      </c>
      <c r="D20" s="196">
        <v>787255.31</v>
      </c>
      <c r="E20" s="196">
        <v>0</v>
      </c>
      <c r="F20" s="196">
        <v>787255</v>
      </c>
      <c r="G20" s="196">
        <v>0</v>
      </c>
    </row>
    <row r="21" spans="1:7" x14ac:dyDescent="0.25">
      <c r="A21" s="195" t="s">
        <v>1333</v>
      </c>
      <c r="B21" s="195" t="s">
        <v>1334</v>
      </c>
      <c r="C21" s="194" t="s">
        <v>1335</v>
      </c>
      <c r="D21" s="196">
        <v>787255.31</v>
      </c>
      <c r="E21" s="196">
        <v>0</v>
      </c>
      <c r="F21" s="196">
        <v>787255</v>
      </c>
      <c r="G21" s="196">
        <v>0</v>
      </c>
    </row>
    <row r="22" spans="1:7" x14ac:dyDescent="0.25">
      <c r="A22" s="195">
        <v>2</v>
      </c>
      <c r="B22" s="195" t="s">
        <v>1336</v>
      </c>
      <c r="C22" s="194" t="s">
        <v>1337</v>
      </c>
      <c r="D22" s="196">
        <v>0</v>
      </c>
      <c r="E22" s="196">
        <v>0</v>
      </c>
      <c r="F22" s="196">
        <v>0</v>
      </c>
      <c r="G22" s="196">
        <v>0</v>
      </c>
    </row>
    <row r="23" spans="1:7" x14ac:dyDescent="0.25">
      <c r="A23" s="195" t="s">
        <v>1338</v>
      </c>
      <c r="B23" s="195" t="s">
        <v>1339</v>
      </c>
      <c r="C23" s="194" t="s">
        <v>1340</v>
      </c>
      <c r="D23" s="196">
        <v>64528.77</v>
      </c>
      <c r="E23" s="196">
        <v>0</v>
      </c>
      <c r="F23" s="196">
        <v>64529</v>
      </c>
      <c r="G23" s="196">
        <v>0</v>
      </c>
    </row>
    <row r="24" spans="1:7" x14ac:dyDescent="0.25">
      <c r="A24" s="195" t="s">
        <v>1014</v>
      </c>
      <c r="B24" s="195" t="s">
        <v>1341</v>
      </c>
      <c r="C24" s="194" t="s">
        <v>1342</v>
      </c>
      <c r="D24" s="196">
        <v>1837245.46</v>
      </c>
      <c r="E24" s="196">
        <v>0</v>
      </c>
      <c r="F24" s="196">
        <v>1837245</v>
      </c>
      <c r="G24" s="196">
        <v>0</v>
      </c>
    </row>
    <row r="25" spans="1:7" x14ac:dyDescent="0.25">
      <c r="A25" s="195" t="s">
        <v>1223</v>
      </c>
      <c r="B25" s="195" t="s">
        <v>1343</v>
      </c>
      <c r="C25" s="194" t="s">
        <v>1344</v>
      </c>
      <c r="D25" s="196">
        <v>27904.98</v>
      </c>
      <c r="E25" s="196">
        <v>0</v>
      </c>
      <c r="F25" s="196">
        <v>27905</v>
      </c>
      <c r="G25" s="196">
        <v>0</v>
      </c>
    </row>
    <row r="26" spans="1:7" x14ac:dyDescent="0.25">
      <c r="A26" s="195" t="s">
        <v>1225</v>
      </c>
      <c r="B26" s="195" t="s">
        <v>1345</v>
      </c>
      <c r="C26" s="194" t="s">
        <v>1346</v>
      </c>
      <c r="D26" s="196">
        <v>0</v>
      </c>
      <c r="E26" s="196">
        <v>0</v>
      </c>
      <c r="F26" s="196">
        <v>0</v>
      </c>
      <c r="G26" s="196">
        <v>0</v>
      </c>
    </row>
    <row r="27" spans="1:7" x14ac:dyDescent="0.25">
      <c r="A27" s="195">
        <v>2</v>
      </c>
      <c r="B27" s="195" t="s">
        <v>1347</v>
      </c>
      <c r="C27" s="194" t="s">
        <v>1348</v>
      </c>
      <c r="D27" s="196">
        <v>27904.98</v>
      </c>
      <c r="E27" s="196">
        <v>0</v>
      </c>
      <c r="F27" s="196">
        <v>27905</v>
      </c>
      <c r="G27" s="196">
        <v>0</v>
      </c>
    </row>
    <row r="28" spans="1:7" x14ac:dyDescent="0.25">
      <c r="A28" s="195">
        <v>3</v>
      </c>
      <c r="B28" s="195" t="s">
        <v>1349</v>
      </c>
      <c r="C28" s="194" t="s">
        <v>1350</v>
      </c>
      <c r="D28" s="196">
        <v>0</v>
      </c>
      <c r="E28" s="196">
        <v>0</v>
      </c>
      <c r="F28" s="196">
        <v>0</v>
      </c>
      <c r="G28" s="196">
        <v>0</v>
      </c>
    </row>
    <row r="29" spans="1:7" x14ac:dyDescent="0.25">
      <c r="A29" s="195">
        <v>4</v>
      </c>
      <c r="B29" s="195" t="s">
        <v>1351</v>
      </c>
      <c r="C29" s="194" t="s">
        <v>1352</v>
      </c>
      <c r="D29" s="196">
        <v>0</v>
      </c>
      <c r="E29" s="196">
        <v>0</v>
      </c>
      <c r="F29" s="196">
        <v>0</v>
      </c>
      <c r="G29" s="196">
        <v>0</v>
      </c>
    </row>
    <row r="30" spans="1:7" x14ac:dyDescent="0.25">
      <c r="A30" s="195" t="s">
        <v>1238</v>
      </c>
      <c r="B30" s="195" t="s">
        <v>1353</v>
      </c>
      <c r="C30" s="194" t="s">
        <v>1354</v>
      </c>
      <c r="D30" s="196">
        <v>75889.5</v>
      </c>
      <c r="E30" s="196">
        <v>0</v>
      </c>
      <c r="F30" s="196">
        <v>75890</v>
      </c>
      <c r="G30" s="196">
        <v>0</v>
      </c>
    </row>
    <row r="31" spans="1:7" x14ac:dyDescent="0.25">
      <c r="A31" s="195" t="s">
        <v>1241</v>
      </c>
      <c r="B31" s="195" t="s">
        <v>1355</v>
      </c>
      <c r="C31" s="194" t="s">
        <v>1356</v>
      </c>
      <c r="D31" s="196">
        <v>0</v>
      </c>
      <c r="E31" s="196">
        <v>0</v>
      </c>
      <c r="F31" s="196">
        <v>0</v>
      </c>
      <c r="G31" s="196">
        <v>0</v>
      </c>
    </row>
    <row r="32" spans="1:7" x14ac:dyDescent="0.25">
      <c r="A32" s="195">
        <v>2</v>
      </c>
      <c r="B32" s="195" t="s">
        <v>1244</v>
      </c>
      <c r="C32" s="194" t="s">
        <v>1357</v>
      </c>
      <c r="D32" s="196">
        <v>0</v>
      </c>
      <c r="E32" s="196">
        <v>0</v>
      </c>
      <c r="F32" s="196">
        <v>0</v>
      </c>
      <c r="G32" s="196">
        <v>0</v>
      </c>
    </row>
    <row r="33" spans="1:7" x14ac:dyDescent="0.25">
      <c r="A33" s="195">
        <v>3</v>
      </c>
      <c r="B33" s="195" t="s">
        <v>1358</v>
      </c>
      <c r="C33" s="194" t="s">
        <v>1359</v>
      </c>
      <c r="D33" s="196">
        <v>0</v>
      </c>
      <c r="E33" s="196">
        <v>0</v>
      </c>
      <c r="F33" s="196">
        <v>0</v>
      </c>
      <c r="G33" s="196">
        <v>0</v>
      </c>
    </row>
    <row r="34" spans="1:7" x14ac:dyDescent="0.25">
      <c r="A34" s="195">
        <v>4</v>
      </c>
      <c r="B34" s="195" t="s">
        <v>1360</v>
      </c>
      <c r="C34" s="194" t="s">
        <v>1361</v>
      </c>
      <c r="D34" s="196">
        <v>0</v>
      </c>
      <c r="E34" s="196">
        <v>0</v>
      </c>
      <c r="F34" s="196">
        <v>0</v>
      </c>
      <c r="G34" s="196">
        <v>0</v>
      </c>
    </row>
    <row r="35" spans="1:7" x14ac:dyDescent="0.25">
      <c r="A35" s="195">
        <v>5</v>
      </c>
      <c r="B35" s="195" t="s">
        <v>1362</v>
      </c>
      <c r="C35" s="194" t="s">
        <v>1363</v>
      </c>
      <c r="D35" s="196">
        <v>0</v>
      </c>
      <c r="E35" s="196">
        <v>0</v>
      </c>
      <c r="F35" s="196">
        <v>0</v>
      </c>
      <c r="G35" s="196">
        <v>0</v>
      </c>
    </row>
    <row r="36" spans="1:7" x14ac:dyDescent="0.25">
      <c r="A36" s="195">
        <v>6</v>
      </c>
      <c r="B36" s="195" t="s">
        <v>1364</v>
      </c>
      <c r="C36" s="194" t="s">
        <v>1365</v>
      </c>
      <c r="D36" s="196">
        <v>0</v>
      </c>
      <c r="E36" s="196">
        <v>0</v>
      </c>
      <c r="F36" s="196">
        <v>0</v>
      </c>
      <c r="G36" s="196">
        <v>0</v>
      </c>
    </row>
    <row r="37" spans="1:7" x14ac:dyDescent="0.25">
      <c r="A37" s="195">
        <v>7</v>
      </c>
      <c r="B37" s="195" t="s">
        <v>1366</v>
      </c>
      <c r="C37" s="194" t="s">
        <v>1367</v>
      </c>
      <c r="D37" s="196">
        <v>0</v>
      </c>
      <c r="E37" s="196">
        <v>0</v>
      </c>
      <c r="F37" s="196">
        <v>0</v>
      </c>
      <c r="G37" s="196">
        <v>0</v>
      </c>
    </row>
    <row r="38" spans="1:7" x14ac:dyDescent="0.25">
      <c r="A38" s="195">
        <v>8</v>
      </c>
      <c r="B38" s="195" t="s">
        <v>1368</v>
      </c>
      <c r="C38" s="194" t="s">
        <v>1369</v>
      </c>
      <c r="D38" s="196">
        <v>0</v>
      </c>
      <c r="E38" s="196">
        <v>0</v>
      </c>
      <c r="F38" s="196">
        <v>0</v>
      </c>
      <c r="G38" s="196">
        <v>0</v>
      </c>
    </row>
    <row r="39" spans="1:7" x14ac:dyDescent="0.25">
      <c r="A39" s="195">
        <v>9</v>
      </c>
      <c r="B39" s="195" t="s">
        <v>1370</v>
      </c>
      <c r="C39" s="194" t="s">
        <v>1371</v>
      </c>
      <c r="D39" s="196">
        <v>5351.21</v>
      </c>
      <c r="E39" s="196">
        <v>0</v>
      </c>
      <c r="F39" s="196">
        <v>5351</v>
      </c>
      <c r="G39" s="196">
        <v>0</v>
      </c>
    </row>
    <row r="40" spans="1:7" x14ac:dyDescent="0.25">
      <c r="A40" s="195">
        <v>10</v>
      </c>
      <c r="B40" s="195" t="s">
        <v>1372</v>
      </c>
      <c r="C40" s="194" t="s">
        <v>1373</v>
      </c>
      <c r="D40" s="196">
        <v>46549.68</v>
      </c>
      <c r="E40" s="196">
        <v>0</v>
      </c>
      <c r="F40" s="196">
        <v>46550</v>
      </c>
      <c r="G40" s="196">
        <v>0</v>
      </c>
    </row>
    <row r="41" spans="1:7" x14ac:dyDescent="0.25">
      <c r="A41" s="195">
        <v>11</v>
      </c>
      <c r="B41" s="195" t="s">
        <v>1374</v>
      </c>
      <c r="C41" s="194" t="s">
        <v>1375</v>
      </c>
      <c r="D41" s="196">
        <v>23988.61</v>
      </c>
      <c r="E41" s="196">
        <v>0</v>
      </c>
      <c r="F41" s="196">
        <v>23989</v>
      </c>
      <c r="G41" s="196">
        <v>0</v>
      </c>
    </row>
    <row r="42" spans="1:7" x14ac:dyDescent="0.25">
      <c r="A42" s="195" t="s">
        <v>1255</v>
      </c>
      <c r="B42" s="195" t="s">
        <v>1376</v>
      </c>
      <c r="C42" s="194" t="s">
        <v>1377</v>
      </c>
      <c r="D42" s="196">
        <v>675850.49</v>
      </c>
      <c r="E42" s="196">
        <v>0</v>
      </c>
      <c r="F42" s="196">
        <v>675850</v>
      </c>
      <c r="G42" s="196">
        <v>0</v>
      </c>
    </row>
    <row r="43" spans="1:7" x14ac:dyDescent="0.25">
      <c r="A43" s="195" t="s">
        <v>1378</v>
      </c>
      <c r="B43" s="195" t="s">
        <v>1379</v>
      </c>
      <c r="C43" s="194" t="s">
        <v>1380</v>
      </c>
      <c r="D43" s="196">
        <v>545299.34</v>
      </c>
      <c r="E43" s="196">
        <v>0</v>
      </c>
      <c r="F43" s="196">
        <v>545299</v>
      </c>
      <c r="G43" s="196">
        <v>0</v>
      </c>
    </row>
    <row r="44" spans="1:7" x14ac:dyDescent="0.25">
      <c r="A44" s="195">
        <v>2</v>
      </c>
      <c r="B44" s="195" t="s">
        <v>1244</v>
      </c>
      <c r="C44" s="194" t="s">
        <v>1381</v>
      </c>
      <c r="D44" s="196">
        <v>0</v>
      </c>
      <c r="E44" s="196">
        <v>0</v>
      </c>
      <c r="F44" s="196">
        <v>0</v>
      </c>
      <c r="G44" s="196">
        <v>0</v>
      </c>
    </row>
    <row r="45" spans="1:7" x14ac:dyDescent="0.25">
      <c r="A45" s="195">
        <v>3</v>
      </c>
      <c r="B45" s="195" t="s">
        <v>1382</v>
      </c>
      <c r="C45" s="194" t="s">
        <v>1383</v>
      </c>
      <c r="D45" s="196">
        <v>3570.98</v>
      </c>
      <c r="E45" s="196">
        <v>0</v>
      </c>
      <c r="F45" s="196">
        <v>3571</v>
      </c>
      <c r="G45" s="196">
        <v>0</v>
      </c>
    </row>
    <row r="46" spans="1:7" x14ac:dyDescent="0.25">
      <c r="A46" s="195">
        <v>4</v>
      </c>
      <c r="B46" s="195" t="s">
        <v>1384</v>
      </c>
      <c r="C46" s="194" t="s">
        <v>1385</v>
      </c>
      <c r="D46" s="196">
        <v>0</v>
      </c>
      <c r="E46" s="196">
        <v>0</v>
      </c>
      <c r="F46" s="196">
        <v>0</v>
      </c>
      <c r="G46" s="196">
        <v>0</v>
      </c>
    </row>
    <row r="47" spans="1:7" x14ac:dyDescent="0.25">
      <c r="A47" s="195">
        <v>5</v>
      </c>
      <c r="B47" s="195" t="s">
        <v>1386</v>
      </c>
      <c r="C47" s="194" t="s">
        <v>887</v>
      </c>
      <c r="D47" s="196">
        <v>0</v>
      </c>
      <c r="E47" s="196">
        <v>0</v>
      </c>
      <c r="F47" s="196">
        <v>0</v>
      </c>
      <c r="G47" s="196">
        <v>0</v>
      </c>
    </row>
    <row r="48" spans="1:7" x14ac:dyDescent="0.25">
      <c r="A48" s="195">
        <v>6</v>
      </c>
      <c r="B48" s="195" t="s">
        <v>1387</v>
      </c>
      <c r="C48" s="194" t="s">
        <v>888</v>
      </c>
      <c r="D48" s="196">
        <v>30427.89</v>
      </c>
      <c r="E48" s="196">
        <v>0</v>
      </c>
      <c r="F48" s="196">
        <v>30428</v>
      </c>
      <c r="G48" s="196">
        <v>0</v>
      </c>
    </row>
    <row r="49" spans="1:7" x14ac:dyDescent="0.25">
      <c r="A49" s="195">
        <v>7</v>
      </c>
      <c r="B49" s="195" t="s">
        <v>1388</v>
      </c>
      <c r="C49" s="194" t="s">
        <v>1389</v>
      </c>
      <c r="D49" s="196">
        <v>20823.52</v>
      </c>
      <c r="E49" s="196">
        <v>0</v>
      </c>
      <c r="F49" s="196">
        <v>20824</v>
      </c>
      <c r="G49" s="196">
        <v>0</v>
      </c>
    </row>
    <row r="50" spans="1:7" x14ac:dyDescent="0.25">
      <c r="A50" s="195">
        <v>8</v>
      </c>
      <c r="B50" s="195" t="s">
        <v>1390</v>
      </c>
      <c r="C50" s="194" t="s">
        <v>1391</v>
      </c>
      <c r="D50" s="196">
        <v>13135.1</v>
      </c>
      <c r="E50" s="196">
        <v>0</v>
      </c>
      <c r="F50" s="196">
        <v>13135</v>
      </c>
      <c r="G50" s="196">
        <v>0</v>
      </c>
    </row>
    <row r="51" spans="1:7" x14ac:dyDescent="0.25">
      <c r="A51" s="195">
        <v>9</v>
      </c>
      <c r="B51" s="195" t="s">
        <v>1392</v>
      </c>
      <c r="C51" s="194" t="s">
        <v>1393</v>
      </c>
      <c r="D51" s="196">
        <v>30916.37</v>
      </c>
      <c r="E51" s="196">
        <v>0</v>
      </c>
      <c r="F51" s="196">
        <v>30916</v>
      </c>
      <c r="G51" s="196">
        <v>0</v>
      </c>
    </row>
    <row r="52" spans="1:7" x14ac:dyDescent="0.25">
      <c r="A52" s="195">
        <v>10</v>
      </c>
      <c r="B52" s="195" t="s">
        <v>1394</v>
      </c>
      <c r="C52" s="194" t="s">
        <v>1395</v>
      </c>
      <c r="D52" s="196">
        <v>31677.29</v>
      </c>
      <c r="E52" s="196">
        <v>0</v>
      </c>
      <c r="F52" s="196">
        <v>31677</v>
      </c>
      <c r="G52" s="196">
        <v>0</v>
      </c>
    </row>
    <row r="53" spans="1:7" x14ac:dyDescent="0.25">
      <c r="A53" s="195" t="s">
        <v>1270</v>
      </c>
      <c r="B53" s="195" t="s">
        <v>1396</v>
      </c>
      <c r="C53" s="194" t="s">
        <v>1397</v>
      </c>
      <c r="D53" s="196">
        <v>43555.14</v>
      </c>
      <c r="E53" s="196">
        <v>0</v>
      </c>
      <c r="F53" s="196">
        <v>43555</v>
      </c>
      <c r="G53" s="196">
        <v>0</v>
      </c>
    </row>
    <row r="54" spans="1:7" x14ac:dyDescent="0.25">
      <c r="A54" s="195" t="s">
        <v>1398</v>
      </c>
      <c r="B54" s="195" t="s">
        <v>1399</v>
      </c>
      <c r="C54" s="194" t="s">
        <v>1400</v>
      </c>
      <c r="D54" s="196">
        <v>1014045.35</v>
      </c>
      <c r="E54" s="196">
        <v>0</v>
      </c>
      <c r="F54" s="196">
        <v>1014045</v>
      </c>
      <c r="G54" s="196">
        <v>0</v>
      </c>
    </row>
    <row r="55" spans="1:7" x14ac:dyDescent="0.25">
      <c r="A55" s="195" t="s">
        <v>1273</v>
      </c>
      <c r="B55" s="195" t="s">
        <v>1401</v>
      </c>
      <c r="C55" s="194" t="s">
        <v>1402</v>
      </c>
      <c r="D55" s="196">
        <v>499270</v>
      </c>
      <c r="E55" s="196">
        <v>0</v>
      </c>
      <c r="F55" s="196">
        <v>499270</v>
      </c>
      <c r="G55" s="196">
        <v>0</v>
      </c>
    </row>
    <row r="56" spans="1:7" x14ac:dyDescent="0.25">
      <c r="A56" s="195">
        <v>2</v>
      </c>
      <c r="B56" s="195" t="s">
        <v>1403</v>
      </c>
      <c r="C56" s="194" t="s">
        <v>1404</v>
      </c>
      <c r="D56" s="196">
        <v>514775.35</v>
      </c>
      <c r="E56" s="196">
        <v>0</v>
      </c>
      <c r="F56" s="196">
        <v>514775</v>
      </c>
      <c r="G56" s="196">
        <v>0</v>
      </c>
    </row>
    <row r="57" spans="1:7" x14ac:dyDescent="0.25">
      <c r="A57" s="195" t="s">
        <v>1024</v>
      </c>
      <c r="B57" s="195" t="s">
        <v>1405</v>
      </c>
      <c r="C57" s="194" t="s">
        <v>1406</v>
      </c>
      <c r="D57" s="196">
        <v>3551.75</v>
      </c>
      <c r="E57" s="196">
        <v>0</v>
      </c>
      <c r="F57" s="196">
        <v>3552</v>
      </c>
      <c r="G57" s="196">
        <v>0</v>
      </c>
    </row>
    <row r="58" spans="1:7" x14ac:dyDescent="0.25">
      <c r="A58" s="195" t="s">
        <v>1027</v>
      </c>
      <c r="B58" s="195" t="s">
        <v>1407</v>
      </c>
      <c r="C58" s="194" t="s">
        <v>1408</v>
      </c>
      <c r="D58" s="196">
        <v>0</v>
      </c>
      <c r="E58" s="196">
        <v>0</v>
      </c>
      <c r="F58" s="196">
        <v>0</v>
      </c>
      <c r="G58" s="196">
        <v>0</v>
      </c>
    </row>
    <row r="59" spans="1:7" x14ac:dyDescent="0.25">
      <c r="A59" s="195">
        <v>2</v>
      </c>
      <c r="B59" s="195" t="s">
        <v>1409</v>
      </c>
      <c r="C59" s="194" t="s">
        <v>1410</v>
      </c>
      <c r="D59" s="196">
        <v>0</v>
      </c>
      <c r="E59" s="196">
        <v>0</v>
      </c>
      <c r="F59" s="196">
        <v>0</v>
      </c>
      <c r="G59" s="196">
        <v>0</v>
      </c>
    </row>
    <row r="60" spans="1:7" x14ac:dyDescent="0.25">
      <c r="A60" s="195">
        <v>3</v>
      </c>
      <c r="B60" s="195" t="s">
        <v>1411</v>
      </c>
      <c r="C60" s="194" t="s">
        <v>1412</v>
      </c>
      <c r="D60" s="196">
        <v>0</v>
      </c>
      <c r="E60" s="196">
        <v>0</v>
      </c>
      <c r="F60" s="196">
        <v>0</v>
      </c>
      <c r="G60" s="196">
        <v>0</v>
      </c>
    </row>
    <row r="61" spans="1:7" x14ac:dyDescent="0.25">
      <c r="A61" s="195">
        <v>4</v>
      </c>
      <c r="B61" s="195" t="s">
        <v>1413</v>
      </c>
      <c r="C61" s="194" t="s">
        <v>1414</v>
      </c>
      <c r="D61" s="196">
        <v>3551.75</v>
      </c>
      <c r="E61" s="196">
        <v>0</v>
      </c>
      <c r="F61" s="196">
        <v>3552</v>
      </c>
      <c r="G61" s="196">
        <v>0</v>
      </c>
    </row>
  </sheetData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B18"/>
  <sheetViews>
    <sheetView workbookViewId="0">
      <selection activeCell="A2" sqref="A2"/>
    </sheetView>
  </sheetViews>
  <sheetFormatPr defaultRowHeight="15" x14ac:dyDescent="0.25"/>
  <cols>
    <col min="1" max="1" width="63.140625" style="18" customWidth="1"/>
    <col min="2" max="2" width="24.85546875" style="18" customWidth="1"/>
  </cols>
  <sheetData>
    <row r="1" spans="1:2" x14ac:dyDescent="0.25">
      <c r="A1" s="203" t="s">
        <v>535</v>
      </c>
      <c r="B1" s="203" t="s">
        <v>63</v>
      </c>
    </row>
    <row r="2" spans="1:2" x14ac:dyDescent="0.25">
      <c r="A2" s="18" t="s">
        <v>1415</v>
      </c>
      <c r="B2" s="18" t="s">
        <v>1501</v>
      </c>
    </row>
    <row r="3" spans="1:2" x14ac:dyDescent="0.25">
      <c r="A3" s="18" t="s">
        <v>1416</v>
      </c>
      <c r="B3" s="18" t="s">
        <v>1419</v>
      </c>
    </row>
    <row r="4" spans="1:2" x14ac:dyDescent="0.25">
      <c r="A4" s="18" t="s">
        <v>1417</v>
      </c>
      <c r="B4" s="18" t="s">
        <v>1421</v>
      </c>
    </row>
    <row r="5" spans="1:2" x14ac:dyDescent="0.25">
      <c r="A5" s="18" t="s">
        <v>1418</v>
      </c>
      <c r="B5" s="18" t="s">
        <v>1476</v>
      </c>
    </row>
    <row r="6" spans="1:2" x14ac:dyDescent="0.25">
      <c r="A6" s="18" t="s">
        <v>1420</v>
      </c>
      <c r="B6" s="18" t="s">
        <v>1477</v>
      </c>
    </row>
    <row r="7" spans="1:2" x14ac:dyDescent="0.25">
      <c r="A7" s="18" t="s">
        <v>1422</v>
      </c>
      <c r="B7" s="18">
        <v>31703747</v>
      </c>
    </row>
    <row r="8" spans="1:2" x14ac:dyDescent="0.25">
      <c r="A8" s="18" t="s">
        <v>1423</v>
      </c>
      <c r="B8" s="18">
        <v>2020504156</v>
      </c>
    </row>
    <row r="9" spans="1:2" x14ac:dyDescent="0.25">
      <c r="A9" s="18" t="s">
        <v>1424</v>
      </c>
    </row>
    <row r="10" spans="1:2" x14ac:dyDescent="0.25">
      <c r="A10" s="18" t="s">
        <v>1425</v>
      </c>
      <c r="B10" s="18" t="s">
        <v>1426</v>
      </c>
    </row>
    <row r="11" spans="1:2" x14ac:dyDescent="0.25">
      <c r="A11" s="18" t="s">
        <v>1427</v>
      </c>
    </row>
    <row r="12" spans="1:2" x14ac:dyDescent="0.25">
      <c r="A12" s="18" t="s">
        <v>1428</v>
      </c>
      <c r="B12" s="18" t="s">
        <v>1429</v>
      </c>
    </row>
    <row r="13" spans="1:2" x14ac:dyDescent="0.25">
      <c r="A13" s="18" t="s">
        <v>1430</v>
      </c>
      <c r="B13" s="18">
        <v>35</v>
      </c>
    </row>
    <row r="14" spans="1:2" x14ac:dyDescent="0.25">
      <c r="A14" s="18" t="s">
        <v>1431</v>
      </c>
      <c r="B14" s="18">
        <v>5201</v>
      </c>
    </row>
    <row r="15" spans="1:2" x14ac:dyDescent="0.25">
      <c r="A15" s="18" t="s">
        <v>1432</v>
      </c>
      <c r="B15" s="18" t="s">
        <v>1433</v>
      </c>
    </row>
    <row r="16" spans="1:2" ht="23.25" x14ac:dyDescent="0.25">
      <c r="A16" s="18" t="s">
        <v>1434</v>
      </c>
      <c r="B16" s="316" t="s">
        <v>1435</v>
      </c>
    </row>
    <row r="17" spans="1:2" x14ac:dyDescent="0.25">
      <c r="A17" s="18" t="s">
        <v>1436</v>
      </c>
      <c r="B17" s="18" t="s">
        <v>1437</v>
      </c>
    </row>
    <row r="18" spans="1:2" x14ac:dyDescent="0.25">
      <c r="A18" s="18" t="s">
        <v>1438</v>
      </c>
      <c r="B18" s="18" t="s">
        <v>1439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49"/>
  <sheetViews>
    <sheetView showGridLines="0" topLeftCell="A19" zoomScaleNormal="100" workbookViewId="0">
      <selection activeCell="N26" sqref="N26"/>
    </sheetView>
  </sheetViews>
  <sheetFormatPr defaultRowHeight="15" x14ac:dyDescent="0.25"/>
  <cols>
    <col min="1" max="1" width="29.28515625" style="189" customWidth="1"/>
    <col min="2" max="4" width="11.28515625" style="189" customWidth="1"/>
    <col min="5" max="5" width="12.5703125" style="189" customWidth="1"/>
    <col min="6" max="10" width="11.28515625" style="189" customWidth="1"/>
    <col min="11" max="16384" width="9.140625" style="189"/>
  </cols>
  <sheetData>
    <row r="1" spans="1:33" ht="16.5" x14ac:dyDescent="0.3">
      <c r="A1" s="226" t="s">
        <v>39</v>
      </c>
    </row>
    <row r="2" spans="1:33" ht="17.25" thickBot="1" x14ac:dyDescent="0.35">
      <c r="A2" s="227" t="s">
        <v>8</v>
      </c>
    </row>
    <row r="3" spans="1:33" ht="16.5" customHeight="1" thickTop="1" thickBot="1" x14ac:dyDescent="0.3">
      <c r="A3" s="368" t="s">
        <v>40</v>
      </c>
      <c r="B3" s="364" t="s">
        <v>2</v>
      </c>
      <c r="C3" s="365"/>
      <c r="D3" s="365"/>
      <c r="E3" s="365"/>
      <c r="F3" s="365"/>
      <c r="G3" s="365"/>
      <c r="H3" s="365"/>
      <c r="I3" s="365"/>
      <c r="J3" s="366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</row>
    <row r="4" spans="1:33" ht="62.25" customHeight="1" thickTop="1" thickBot="1" x14ac:dyDescent="0.3">
      <c r="A4" s="369"/>
      <c r="B4" s="218" t="s">
        <v>41</v>
      </c>
      <c r="C4" s="218" t="s">
        <v>42</v>
      </c>
      <c r="D4" s="218" t="s">
        <v>43</v>
      </c>
      <c r="E4" s="218" t="s">
        <v>444</v>
      </c>
      <c r="F4" s="218" t="s">
        <v>44</v>
      </c>
      <c r="G4" s="218" t="s">
        <v>45</v>
      </c>
      <c r="H4" s="218" t="s">
        <v>445</v>
      </c>
      <c r="I4" s="218" t="s">
        <v>46</v>
      </c>
      <c r="J4" s="218" t="s">
        <v>14</v>
      </c>
    </row>
    <row r="5" spans="1:33" ht="15" customHeight="1" thickTop="1" thickBot="1" x14ac:dyDescent="0.3">
      <c r="A5" s="229" t="s">
        <v>25</v>
      </c>
      <c r="B5" s="208"/>
      <c r="C5" s="208"/>
      <c r="D5" s="208"/>
      <c r="E5" s="208"/>
      <c r="F5" s="208"/>
      <c r="G5" s="208"/>
      <c r="H5" s="208"/>
      <c r="I5" s="208"/>
      <c r="J5" s="209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</row>
    <row r="6" spans="1:33" ht="24" thickTop="1" thickBot="1" x14ac:dyDescent="0.3">
      <c r="A6" s="230" t="s">
        <v>26</v>
      </c>
      <c r="B6" s="220">
        <f>SUMIF(HK!A:A,"031*",HK!C:C)-SUMIF(HK!A:A,"031*",HK!D:D)</f>
        <v>103220.21</v>
      </c>
      <c r="C6" s="220">
        <f>SUMIF(HK!A:A,"021*",HK!C:C)-SUMIF(HK!A:A,"021*",HK!D:D)</f>
        <v>1707272.37</v>
      </c>
      <c r="D6" s="220">
        <f>SUMIF(HK!A:A,"022*",HK!C:C)-SUMIF(HK!A:A,"022*",HK!D:D)</f>
        <v>805377.51</v>
      </c>
      <c r="E6" s="220">
        <f>SUMIF(HK!A:A,"025*",HK!C:C)-SUMIF(HK!A:A,"025*",HK!D:D)</f>
        <v>0</v>
      </c>
      <c r="F6" s="220">
        <f>SUMIF(HK!A:A,"026*",HK!C:C)-SUMIF(HK!A:A,"026*",HK!D:D)</f>
        <v>0</v>
      </c>
      <c r="G6" s="220">
        <f>SUMIF(HK!A:A,"029*",HK!C:C)-SUMIF(HK!A:A,"029*",HK!D:D)</f>
        <v>0</v>
      </c>
      <c r="H6" s="220">
        <f>SUMIF(HK!A:A,"042*",HK!C:C)-SUMIF(HK!A:A,"042*",HK!D:D)</f>
        <v>46917.58</v>
      </c>
      <c r="I6" s="220">
        <f>SUMIF(HK!A:A,"052*",HK!C:C)-SUMIF(HK!A:A,"052*",HK!D:D)</f>
        <v>0</v>
      </c>
      <c r="J6" s="205">
        <f>SUM(B6:I6)</f>
        <v>2662787.67</v>
      </c>
      <c r="L6" s="206"/>
    </row>
    <row r="7" spans="1:33" ht="15" customHeight="1" thickBot="1" x14ac:dyDescent="0.3">
      <c r="A7" s="231" t="s">
        <v>27</v>
      </c>
      <c r="B7" s="183"/>
      <c r="C7" s="340"/>
      <c r="D7" s="340">
        <v>30608</v>
      </c>
      <c r="E7" s="183"/>
      <c r="F7" s="184"/>
      <c r="G7" s="183"/>
      <c r="H7" s="183">
        <v>30607</v>
      </c>
      <c r="I7" s="183"/>
      <c r="J7" s="205">
        <f t="shared" ref="J7:J9" si="0">SUM(B7:I7)</f>
        <v>61215</v>
      </c>
    </row>
    <row r="8" spans="1:33" ht="15" customHeight="1" thickBot="1" x14ac:dyDescent="0.3">
      <c r="A8" s="231" t="s">
        <v>28</v>
      </c>
      <c r="B8" s="183"/>
      <c r="C8" s="183"/>
      <c r="D8" s="183">
        <v>27114</v>
      </c>
      <c r="E8" s="183"/>
      <c r="F8" s="184"/>
      <c r="G8" s="183"/>
      <c r="H8" s="183">
        <v>32215</v>
      </c>
      <c r="I8" s="183"/>
      <c r="J8" s="205">
        <f t="shared" si="0"/>
        <v>59329</v>
      </c>
    </row>
    <row r="9" spans="1:33" ht="15" customHeight="1" thickBot="1" x14ac:dyDescent="0.3">
      <c r="A9" s="231" t="s">
        <v>29</v>
      </c>
      <c r="B9" s="183"/>
      <c r="C9" s="183"/>
      <c r="D9" s="183"/>
      <c r="E9" s="183"/>
      <c r="F9" s="184"/>
      <c r="G9" s="183"/>
      <c r="H9" s="183"/>
      <c r="I9" s="183"/>
      <c r="J9" s="205">
        <f t="shared" si="0"/>
        <v>0</v>
      </c>
    </row>
    <row r="10" spans="1:33" ht="15.75" thickBot="1" x14ac:dyDescent="0.3">
      <c r="A10" s="232" t="s">
        <v>30</v>
      </c>
      <c r="B10" s="220">
        <f>SUMIF(HK!A:A,"031*",HK!K:K)-SUMIF(HK!A:A,"031*",HK!L:L)</f>
        <v>103220.21</v>
      </c>
      <c r="C10" s="220">
        <f>SUMIF(HK!A:A,"021*",HK!K:K)-SUMIF(HK!A:A,"021*",HK!L:L)</f>
        <v>1707272.37</v>
      </c>
      <c r="D10" s="220">
        <f>SUMIF(HK!A:A,"022*",HK!K:K)-SUMIF(HK!A:A,"022*",HK!L:L)</f>
        <v>808871.08</v>
      </c>
      <c r="E10" s="220">
        <f>SUMIF(HK!A:A,"025*",HK!K:K)-SUMIF(HK!A:A,"025*",HK!L:L)</f>
        <v>0</v>
      </c>
      <c r="F10" s="220">
        <f>SUMIF(HK!A:A,"026*",HK!K:K)-SUMIF(HK!A:A,"026*",HK!L:L)</f>
        <v>0</v>
      </c>
      <c r="G10" s="220">
        <f>SUMIF(HK!A:A,"029*",HK!K:K)-SUMIF(HK!A:A,"029*",HK!L:L)</f>
        <v>0</v>
      </c>
      <c r="H10" s="220">
        <f>SUMIF(HK!A:A,"042*",HK!K:K)-SUMIF(HK!A:A,"042*",HK!L:L)</f>
        <v>45310.36</v>
      </c>
      <c r="I10" s="220">
        <f>SUMIF(HK!A:A,"052*",HK!K:K)-SUMIF(HK!A:A,"052*",HK!L:L)</f>
        <v>0</v>
      </c>
      <c r="J10" s="207">
        <f>J6+J7-J8+J9</f>
        <v>2664673.67</v>
      </c>
      <c r="L10" s="206"/>
    </row>
    <row r="11" spans="1:33" ht="15" customHeight="1" thickTop="1" thickBot="1" x14ac:dyDescent="0.3">
      <c r="A11" s="229" t="s">
        <v>31</v>
      </c>
      <c r="B11" s="225"/>
      <c r="C11" s="225"/>
      <c r="D11" s="225"/>
      <c r="E11" s="225"/>
      <c r="F11" s="225"/>
      <c r="G11" s="225"/>
      <c r="H11" s="225"/>
      <c r="I11" s="225"/>
      <c r="J11" s="209"/>
    </row>
    <row r="12" spans="1:33" ht="24" thickTop="1" thickBot="1" x14ac:dyDescent="0.3">
      <c r="A12" s="230" t="s">
        <v>32</v>
      </c>
      <c r="B12" s="183"/>
      <c r="C12" s="220">
        <f>SUMIF(HK!A:A,"081*",HK!D:D)-SUMIF(HK!A:A,"081*",HK!C:C)</f>
        <v>672838.59</v>
      </c>
      <c r="D12" s="220">
        <f>SUMIF(HK!A:A,"082*",HK!D:D)-SUMIF(HK!A:A,"082*",HK!C:C)</f>
        <v>649113.62</v>
      </c>
      <c r="E12" s="220">
        <f>SUMIF(HK!A:A,"085*",HK!D:D)-SUMIF(HK!A:A,"085*",HK!C:C)</f>
        <v>0</v>
      </c>
      <c r="F12" s="220">
        <f>SUMIF(HK!A:A,"086*",HK!D:D)-SUMIF(HK!A:A,"086*",HK!C:C)</f>
        <v>0</v>
      </c>
      <c r="G12" s="220">
        <f>SUMIF(HK!A:A,"089*",HK!D:D)-SUMIF(HK!A:A,"089*",HK!C:C)</f>
        <v>0</v>
      </c>
      <c r="H12" s="183"/>
      <c r="I12" s="183"/>
      <c r="J12" s="205">
        <f>SUM(B12:I12)</f>
        <v>1321952.21</v>
      </c>
      <c r="L12" s="206"/>
    </row>
    <row r="13" spans="1:33" ht="15" customHeight="1" thickBot="1" x14ac:dyDescent="0.3">
      <c r="A13" s="231" t="s">
        <v>27</v>
      </c>
      <c r="B13" s="183"/>
      <c r="C13" s="183"/>
      <c r="D13" s="183">
        <v>27114</v>
      </c>
      <c r="E13" s="183"/>
      <c r="F13" s="183"/>
      <c r="G13" s="183"/>
      <c r="H13" s="183"/>
      <c r="I13" s="183"/>
      <c r="J13" s="205">
        <f t="shared" ref="J13:J14" si="1">SUM(B13:I13)</f>
        <v>27114</v>
      </c>
    </row>
    <row r="14" spans="1:33" ht="15" customHeight="1" thickBot="1" x14ac:dyDescent="0.3">
      <c r="A14" s="231" t="s">
        <v>28</v>
      </c>
      <c r="B14" s="183"/>
      <c r="C14" s="183"/>
      <c r="D14" s="183">
        <v>63407</v>
      </c>
      <c r="E14" s="183"/>
      <c r="F14" s="183"/>
      <c r="G14" s="183"/>
      <c r="H14" s="183"/>
      <c r="I14" s="183"/>
      <c r="J14" s="205">
        <f t="shared" si="1"/>
        <v>63407</v>
      </c>
    </row>
    <row r="15" spans="1:33" ht="15.75" thickBot="1" x14ac:dyDescent="0.3">
      <c r="A15" s="232" t="s">
        <v>30</v>
      </c>
      <c r="B15" s="186"/>
      <c r="C15" s="220">
        <f>SUMIF(HK!A:A,"081*",HK!L:L)-SUMIF(HK!A:A,"081*",HK!K:K)</f>
        <v>778171.59</v>
      </c>
      <c r="D15" s="220">
        <f>SUMIF(HK!A:A,"082*",HK!L:L)-SUMIF(HK!A:A,"082*",HK!K:K)</f>
        <v>685406.53</v>
      </c>
      <c r="E15" s="220">
        <f>SUMIF(HK!A:A,"085*",HK!L:L)-SUMIF(HK!A:A,"085*",HK!K:K)</f>
        <v>0</v>
      </c>
      <c r="F15" s="220">
        <f>SUMIF(HK!A:A,"086*",HK!L:L)-SUMIF(HK!A:A,"086*",HK!K:K)</f>
        <v>0</v>
      </c>
      <c r="G15" s="220">
        <f>SUMIF(HK!A:A,"089*",HK!L:L)-SUMIF(HK!A:A,"089*",HK!K:K)</f>
        <v>0</v>
      </c>
      <c r="H15" s="186"/>
      <c r="I15" s="186"/>
      <c r="J15" s="207">
        <f>J12+J13-J14</f>
        <v>1285659.21</v>
      </c>
      <c r="L15" s="206"/>
    </row>
    <row r="16" spans="1:33" ht="15" customHeight="1" thickTop="1" thickBot="1" x14ac:dyDescent="0.3">
      <c r="A16" s="229" t="s">
        <v>33</v>
      </c>
      <c r="B16" s="225"/>
      <c r="C16" s="225"/>
      <c r="D16" s="225"/>
      <c r="E16" s="225"/>
      <c r="F16" s="225"/>
      <c r="G16" s="225"/>
      <c r="H16" s="225"/>
      <c r="I16" s="225"/>
      <c r="J16" s="209"/>
    </row>
    <row r="17" spans="1:33" ht="24" thickTop="1" thickBot="1" x14ac:dyDescent="0.3">
      <c r="A17" s="230" t="s">
        <v>32</v>
      </c>
      <c r="B17" s="183"/>
      <c r="C17" s="220"/>
      <c r="D17" s="220"/>
      <c r="E17" s="220"/>
      <c r="F17" s="220"/>
      <c r="G17" s="220"/>
      <c r="H17" s="220">
        <f>SUMIF(HK!A:A,"094*",HK!D:D)-SUMIF(HK!A:A,"094*",HK!C:C)</f>
        <v>0</v>
      </c>
      <c r="I17" s="220">
        <f>SUMIF(SUAM!C:C,"019",SUAM!E:E)</f>
        <v>0</v>
      </c>
      <c r="J17" s="205">
        <f>SUM(B17:I17)</f>
        <v>0</v>
      </c>
      <c r="L17" s="206"/>
      <c r="M17" s="206"/>
      <c r="N17" s="213"/>
    </row>
    <row r="18" spans="1:33" ht="15" customHeight="1" thickBot="1" x14ac:dyDescent="0.3">
      <c r="A18" s="231" t="s">
        <v>27</v>
      </c>
      <c r="B18" s="183"/>
      <c r="C18" s="183"/>
      <c r="D18" s="183"/>
      <c r="E18" s="183"/>
      <c r="F18" s="183"/>
      <c r="G18" s="183"/>
      <c r="H18" s="183"/>
      <c r="I18" s="183"/>
      <c r="J18" s="205">
        <f t="shared" ref="J18:J19" si="2">SUM(B18:I18)</f>
        <v>0</v>
      </c>
      <c r="N18" s="213"/>
    </row>
    <row r="19" spans="1:33" ht="15" customHeight="1" thickBot="1" x14ac:dyDescent="0.3">
      <c r="A19" s="231" t="s">
        <v>28</v>
      </c>
      <c r="B19" s="183"/>
      <c r="C19" s="183"/>
      <c r="D19" s="183"/>
      <c r="E19" s="183"/>
      <c r="F19" s="183"/>
      <c r="G19" s="183"/>
      <c r="H19" s="183"/>
      <c r="I19" s="183"/>
      <c r="J19" s="205">
        <f t="shared" si="2"/>
        <v>0</v>
      </c>
      <c r="N19" s="213"/>
    </row>
    <row r="20" spans="1:33" ht="15.75" thickBot="1" x14ac:dyDescent="0.3">
      <c r="A20" s="232" t="s">
        <v>30</v>
      </c>
      <c r="B20" s="186"/>
      <c r="C20" s="220"/>
      <c r="D20" s="220"/>
      <c r="E20" s="220"/>
      <c r="F20" s="220"/>
      <c r="G20" s="220"/>
      <c r="H20" s="220">
        <f>SUMIF(HK!A:A,"094*",HK!L:L)-SUMIF(HK!A:A,"094*",HK!K:K)</f>
        <v>0</v>
      </c>
      <c r="I20" s="220">
        <f>SUMIF(SUA!C:C,"019",SUA!E:E)</f>
        <v>0</v>
      </c>
      <c r="J20" s="207">
        <f>J17+J18-J19</f>
        <v>0</v>
      </c>
      <c r="L20" s="206"/>
      <c r="M20" s="206"/>
      <c r="N20" s="213"/>
    </row>
    <row r="21" spans="1:33" ht="15" customHeight="1" thickTop="1" thickBot="1" x14ac:dyDescent="0.3">
      <c r="A21" s="229" t="s">
        <v>34</v>
      </c>
      <c r="B21" s="225"/>
      <c r="C21" s="225"/>
      <c r="D21" s="225"/>
      <c r="E21" s="225"/>
      <c r="F21" s="225"/>
      <c r="G21" s="225"/>
      <c r="H21" s="225"/>
      <c r="I21" s="225"/>
      <c r="J21" s="209"/>
    </row>
    <row r="22" spans="1:33" ht="15" customHeight="1" thickTop="1" thickBot="1" x14ac:dyDescent="0.3">
      <c r="A22" s="230" t="s">
        <v>32</v>
      </c>
      <c r="B22" s="183">
        <v>103220</v>
      </c>
      <c r="C22" s="183">
        <v>1034434</v>
      </c>
      <c r="D22" s="183">
        <v>156264</v>
      </c>
      <c r="E22" s="183"/>
      <c r="F22" s="183"/>
      <c r="G22" s="183"/>
      <c r="H22" s="183">
        <v>46918</v>
      </c>
      <c r="I22" s="183"/>
      <c r="J22" s="205">
        <f>B22+C22+D22+H22</f>
        <v>1340836</v>
      </c>
    </row>
    <row r="23" spans="1:33" ht="15" customHeight="1" thickBot="1" x14ac:dyDescent="0.3">
      <c r="A23" s="232" t="s">
        <v>30</v>
      </c>
      <c r="B23" s="186">
        <v>103220</v>
      </c>
      <c r="C23" s="186">
        <v>929100</v>
      </c>
      <c r="D23" s="186">
        <v>123464</v>
      </c>
      <c r="E23" s="186"/>
      <c r="F23" s="186"/>
      <c r="G23" s="186"/>
      <c r="H23" s="186">
        <v>45310</v>
      </c>
      <c r="I23" s="186"/>
      <c r="J23" s="207">
        <f>B23+C23+D23+H23</f>
        <v>1201094</v>
      </c>
    </row>
    <row r="24" spans="1:33" ht="15.75" thickTop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</row>
    <row r="25" spans="1:33" x14ac:dyDescent="0.25">
      <c r="A25" s="215"/>
      <c r="B25" s="215"/>
      <c r="C25" s="215"/>
      <c r="D25" s="215"/>
      <c r="E25" s="215"/>
      <c r="F25" s="215"/>
      <c r="G25" s="215"/>
      <c r="H25" s="215"/>
      <c r="I25" s="215"/>
      <c r="J25" s="215"/>
    </row>
    <row r="26" spans="1:33" ht="15.75" thickBot="1" x14ac:dyDescent="0.3">
      <c r="A26" s="233" t="s">
        <v>15</v>
      </c>
      <c r="B26" s="233"/>
      <c r="C26" s="233"/>
      <c r="D26" s="233"/>
      <c r="E26" s="233"/>
      <c r="F26" s="233"/>
      <c r="G26" s="233"/>
      <c r="H26" s="233"/>
      <c r="I26" s="233"/>
      <c r="J26" s="233"/>
    </row>
    <row r="27" spans="1:33" ht="16.5" customHeight="1" thickTop="1" thickBot="1" x14ac:dyDescent="0.3">
      <c r="A27" s="370" t="s">
        <v>40</v>
      </c>
      <c r="B27" s="372" t="s">
        <v>3</v>
      </c>
      <c r="C27" s="373"/>
      <c r="D27" s="373"/>
      <c r="E27" s="373"/>
      <c r="F27" s="373"/>
      <c r="G27" s="373"/>
      <c r="H27" s="373"/>
      <c r="I27" s="373"/>
      <c r="J27" s="374"/>
      <c r="K27" s="228"/>
      <c r="L27" s="228"/>
      <c r="M27" s="228"/>
      <c r="N27" s="228"/>
      <c r="O27" s="228"/>
      <c r="P27" s="228"/>
      <c r="Q27" s="228"/>
      <c r="R27" s="228"/>
      <c r="S27" s="228"/>
      <c r="T27" s="228"/>
      <c r="U27" s="228"/>
      <c r="V27" s="228"/>
      <c r="W27" s="228"/>
      <c r="X27" s="228"/>
      <c r="Y27" s="228"/>
      <c r="Z27" s="228"/>
      <c r="AA27" s="228"/>
      <c r="AB27" s="228"/>
      <c r="AC27" s="228"/>
      <c r="AD27" s="228"/>
      <c r="AE27" s="228"/>
      <c r="AF27" s="228"/>
      <c r="AG27" s="228"/>
    </row>
    <row r="28" spans="1:33" ht="62.25" customHeight="1" thickTop="1" thickBot="1" x14ac:dyDescent="0.3">
      <c r="A28" s="371"/>
      <c r="B28" s="234" t="s">
        <v>41</v>
      </c>
      <c r="C28" s="234" t="s">
        <v>42</v>
      </c>
      <c r="D28" s="234" t="s">
        <v>43</v>
      </c>
      <c r="E28" s="234" t="s">
        <v>444</v>
      </c>
      <c r="F28" s="234" t="s">
        <v>44</v>
      </c>
      <c r="G28" s="234" t="s">
        <v>45</v>
      </c>
      <c r="H28" s="234" t="s">
        <v>445</v>
      </c>
      <c r="I28" s="234" t="s">
        <v>46</v>
      </c>
      <c r="J28" s="234" t="s">
        <v>14</v>
      </c>
    </row>
    <row r="29" spans="1:33" ht="15" customHeight="1" thickTop="1" thickBot="1" x14ac:dyDescent="0.3">
      <c r="A29" s="235" t="s">
        <v>25</v>
      </c>
      <c r="B29" s="185"/>
      <c r="C29" s="185"/>
      <c r="D29" s="185"/>
      <c r="E29" s="185"/>
      <c r="F29" s="185"/>
      <c r="G29" s="185"/>
      <c r="H29" s="185"/>
      <c r="I29" s="185"/>
      <c r="J29" s="236"/>
      <c r="K29" s="228"/>
      <c r="L29" s="228"/>
      <c r="M29" s="228"/>
      <c r="N29" s="228"/>
      <c r="O29" s="228"/>
      <c r="P29" s="228"/>
      <c r="Q29" s="228"/>
      <c r="R29" s="228"/>
      <c r="S29" s="228"/>
      <c r="T29" s="228"/>
      <c r="U29" s="228"/>
      <c r="V29" s="228"/>
      <c r="W29" s="228"/>
      <c r="X29" s="228"/>
      <c r="Y29" s="228"/>
    </row>
    <row r="30" spans="1:33" ht="24" thickTop="1" thickBot="1" x14ac:dyDescent="0.3">
      <c r="A30" s="237" t="s">
        <v>26</v>
      </c>
      <c r="B30" s="220">
        <f>SUMIF(HKM!A:A,"031*",HKM!C:C)-SUMIF(HKM!A:A,"031*",HKM!D:D)</f>
        <v>103220.21</v>
      </c>
      <c r="C30" s="220">
        <f>SUMIF(HKM!A:A,"021*",HKM!C:C)-SUMIF(HKM!A:A,"021*",HKM!D:D)</f>
        <v>1648932.74</v>
      </c>
      <c r="D30" s="220">
        <f>SUMIF(HKM!A:A,"022*",HKM!C:C)-SUMIF(HKM!A:A,"022*",HKM!D:D)</f>
        <v>786492.8</v>
      </c>
      <c r="E30" s="220">
        <f>SUMIF(HKM!A:A,"025*",HKM!C:C)-SUMIF(HKM!A:A,"025*",HKM!D:D)</f>
        <v>0</v>
      </c>
      <c r="F30" s="220">
        <f>SUMIF(HKM!A:A,"026*",HKM!C:C)-SUMIF(HKM!A:A,"026*",HKM!D:D)</f>
        <v>0</v>
      </c>
      <c r="G30" s="220">
        <f>SUMIF(HKM!A:A,"029*",HKM!C:C)-SUMIF(HKM!A:A,"029*",HKM!D:D)</f>
        <v>0</v>
      </c>
      <c r="H30" s="220">
        <f>SUMIF(HKM!A:A,"042*",HKM!C:C)-SUMIF(HKM!A:A,"042*",HKM!D:D)</f>
        <v>45210.36</v>
      </c>
      <c r="I30" s="220">
        <f>SUMIF(HKM!A:A,"052*",HKM!C:C)-SUMIF(HKM!A:A,"052*",HKM!D:D)</f>
        <v>0</v>
      </c>
      <c r="J30" s="238">
        <f>SUM(B30:I30)</f>
        <v>2583856.11</v>
      </c>
      <c r="L30" s="206"/>
    </row>
    <row r="31" spans="1:33" ht="15" customHeight="1" thickBot="1" x14ac:dyDescent="0.3">
      <c r="A31" s="239" t="s">
        <v>27</v>
      </c>
      <c r="B31" s="183"/>
      <c r="C31" s="183">
        <v>58339</v>
      </c>
      <c r="D31" s="183">
        <v>44062</v>
      </c>
      <c r="E31" s="183"/>
      <c r="F31" s="184"/>
      <c r="G31" s="183"/>
      <c r="H31" s="183">
        <v>1708</v>
      </c>
      <c r="I31" s="183"/>
      <c r="J31" s="238">
        <f t="shared" ref="J31:J33" si="3">SUM(B31:I31)</f>
        <v>104109</v>
      </c>
    </row>
    <row r="32" spans="1:33" ht="15" customHeight="1" thickBot="1" x14ac:dyDescent="0.3">
      <c r="A32" s="239" t="s">
        <v>28</v>
      </c>
      <c r="B32" s="183"/>
      <c r="C32" s="183"/>
      <c r="D32" s="183">
        <v>25177</v>
      </c>
      <c r="E32" s="183"/>
      <c r="F32" s="184"/>
      <c r="G32" s="183"/>
      <c r="H32" s="183"/>
      <c r="I32" s="183"/>
      <c r="J32" s="238">
        <f t="shared" si="3"/>
        <v>25177</v>
      </c>
    </row>
    <row r="33" spans="1:14" ht="15" customHeight="1" thickBot="1" x14ac:dyDescent="0.3">
      <c r="A33" s="239" t="s">
        <v>29</v>
      </c>
      <c r="B33" s="183"/>
      <c r="C33" s="183"/>
      <c r="D33" s="183"/>
      <c r="E33" s="183"/>
      <c r="F33" s="184"/>
      <c r="G33" s="183"/>
      <c r="H33" s="183"/>
      <c r="I33" s="183"/>
      <c r="J33" s="238">
        <f t="shared" si="3"/>
        <v>0</v>
      </c>
    </row>
    <row r="34" spans="1:14" ht="15.75" thickBot="1" x14ac:dyDescent="0.3">
      <c r="A34" s="240" t="s">
        <v>30</v>
      </c>
      <c r="B34" s="220">
        <f>SUMIF(HKM!A:A,"031*",HKM!K:K)-SUMIF(HKM!A:A,"031*",HKM!L:L)</f>
        <v>103220.21</v>
      </c>
      <c r="C34" s="220">
        <f>SUMIF(HKM!A:A,"021*",HKM!K:K)-SUMIF(HKM!A:A,"021*",HKM!L:L)</f>
        <v>1707272.37</v>
      </c>
      <c r="D34" s="220">
        <f>SUMIF(HKM!A:A,"022*",HKM!K:K)-SUMIF(HKM!A:A,"022*",HKM!L:L)</f>
        <v>805377.51</v>
      </c>
      <c r="E34" s="220">
        <f>SUMIF(HKM!A:A,"025*",HKM!K:K)-SUMIF(HKM!A:A,"025*",HKM!L:L)</f>
        <v>0</v>
      </c>
      <c r="F34" s="220">
        <f>SUMIF(HKM!A:A,"026*",HKM!K:K)-SUMIF(HKM!A:A,"026*",HKM!L:L)</f>
        <v>0</v>
      </c>
      <c r="G34" s="220">
        <f>SUMIF(HKM!A:A,"029*",HKM!K:K)-SUMIF(HKM!A:A,"029*",HKM!L:L)</f>
        <v>0</v>
      </c>
      <c r="H34" s="220">
        <f>SUMIF(HKM!A:A,"042*",HKM!K:K)-SUMIF(HKM!A:A,"042*",HKM!L:L)</f>
        <v>46917.58</v>
      </c>
      <c r="I34" s="220">
        <f>SUMIF(HKM!A:A,"052*",HKM!K:K)-SUMIF(HKM!A:A,"052*",HKM!L:L)</f>
        <v>0</v>
      </c>
      <c r="J34" s="241">
        <f>J30+J31-J32+J33</f>
        <v>2662788.11</v>
      </c>
      <c r="L34" s="206"/>
    </row>
    <row r="35" spans="1:14" ht="15" customHeight="1" thickTop="1" thickBot="1" x14ac:dyDescent="0.3">
      <c r="A35" s="235" t="s">
        <v>31</v>
      </c>
      <c r="B35" s="225"/>
      <c r="C35" s="225"/>
      <c r="D35" s="225"/>
      <c r="E35" s="225"/>
      <c r="F35" s="225"/>
      <c r="G35" s="225"/>
      <c r="H35" s="225"/>
      <c r="I35" s="225"/>
      <c r="J35" s="236"/>
    </row>
    <row r="36" spans="1:14" ht="24" thickTop="1" thickBot="1" x14ac:dyDescent="0.3">
      <c r="A36" s="237" t="s">
        <v>32</v>
      </c>
      <c r="B36" s="183"/>
      <c r="C36" s="220">
        <f>SUMIF(HKM!A:A,"081*",HKM!D:D)-SUMIF(HKM!A:A,"081*",HKM!C:C)</f>
        <v>564162.93999999994</v>
      </c>
      <c r="D36" s="220">
        <f>SUMIF(HKM!A:A,"082*",HKM!D:D)-SUMIF(HKM!A:A,"082*",HKM!C:C)</f>
        <v>592166.18000000005</v>
      </c>
      <c r="E36" s="220">
        <f>SUMIF(HKM!A:A,"085*",HKM!D:D)-SUMIF(HKM!A:A,"085*",HKM!C:C)</f>
        <v>0</v>
      </c>
      <c r="F36" s="220">
        <f>SUMIF(HKM!A:A,"086*",HKM!D:D)-SUMIF(HKM!A:A,"086*",HKM!C:C)</f>
        <v>0</v>
      </c>
      <c r="G36" s="220">
        <f>SUMIF(HKM!A:A,"089*",HKM!D:D)-SUMIF(HKM!A:A,"089*",HKM!C:C)</f>
        <v>0</v>
      </c>
      <c r="H36" s="183"/>
      <c r="I36" s="183"/>
      <c r="J36" s="238">
        <f>SUM(B36:I36)</f>
        <v>1156329.1200000001</v>
      </c>
      <c r="L36" s="206"/>
    </row>
    <row r="37" spans="1:14" ht="15" customHeight="1" thickBot="1" x14ac:dyDescent="0.3">
      <c r="A37" s="239" t="s">
        <v>27</v>
      </c>
      <c r="B37" s="183"/>
      <c r="C37" s="183">
        <v>108675</v>
      </c>
      <c r="D37" s="183">
        <v>82125</v>
      </c>
      <c r="E37" s="183"/>
      <c r="F37" s="183"/>
      <c r="G37" s="183"/>
      <c r="H37" s="183"/>
      <c r="I37" s="183"/>
      <c r="J37" s="238">
        <f t="shared" ref="J37:J38" si="4">SUM(B37:I37)</f>
        <v>190800</v>
      </c>
    </row>
    <row r="38" spans="1:14" ht="15" customHeight="1" thickBot="1" x14ac:dyDescent="0.3">
      <c r="A38" s="239" t="s">
        <v>28</v>
      </c>
      <c r="B38" s="183"/>
      <c r="C38" s="183"/>
      <c r="D38" s="183">
        <v>25177</v>
      </c>
      <c r="E38" s="183"/>
      <c r="F38" s="183"/>
      <c r="G38" s="183"/>
      <c r="H38" s="183"/>
      <c r="I38" s="183"/>
      <c r="J38" s="238">
        <f t="shared" si="4"/>
        <v>25177</v>
      </c>
    </row>
    <row r="39" spans="1:14" ht="15.75" thickBot="1" x14ac:dyDescent="0.3">
      <c r="A39" s="240" t="s">
        <v>30</v>
      </c>
      <c r="B39" s="186"/>
      <c r="C39" s="220">
        <f>SUMIF(HKM!A:A,"081*",HKM!L:L)-SUMIF(HKM!A:A,"081*",HKM!K:K)</f>
        <v>672838.59</v>
      </c>
      <c r="D39" s="220">
        <f>SUMIF(HKM!A:A,"082*",HKM!L:L)-SUMIF(HKM!A:A,"082*",HKM!K:K)</f>
        <v>649113.62</v>
      </c>
      <c r="E39" s="220">
        <f>SUMIF(HKM!A:A,"085*",HKM!L:L)-SUMIF(HKM!A:A,"085*",HKM!K:K)</f>
        <v>0</v>
      </c>
      <c r="F39" s="220">
        <f>SUMIF(HKM!A:A,"086*",HKM!L:L)-SUMIF(HKM!A:A,"086*",HKM!K:K)</f>
        <v>0</v>
      </c>
      <c r="G39" s="220">
        <f>SUMIF(HKM!A:A,"089*",HKM!L:L)-SUMIF(HKM!A:A,"089*",HKM!K:K)</f>
        <v>0</v>
      </c>
      <c r="H39" s="186"/>
      <c r="I39" s="186"/>
      <c r="J39" s="241">
        <f>J36+J37-J38</f>
        <v>1321952.1200000001</v>
      </c>
      <c r="L39" s="206"/>
    </row>
    <row r="40" spans="1:14" ht="15" customHeight="1" thickTop="1" thickBot="1" x14ac:dyDescent="0.3">
      <c r="A40" s="235" t="s">
        <v>33</v>
      </c>
      <c r="B40" s="225"/>
      <c r="C40" s="225"/>
      <c r="D40" s="225"/>
      <c r="E40" s="225"/>
      <c r="F40" s="225"/>
      <c r="G40" s="225"/>
      <c r="H40" s="225"/>
      <c r="I40" s="225"/>
      <c r="J40" s="236"/>
    </row>
    <row r="41" spans="1:14" ht="24" thickTop="1" thickBot="1" x14ac:dyDescent="0.3">
      <c r="A41" s="237" t="s">
        <v>32</v>
      </c>
      <c r="B41" s="183"/>
      <c r="C41" s="220"/>
      <c r="D41" s="220"/>
      <c r="E41" s="220"/>
      <c r="F41" s="220"/>
      <c r="G41" s="220"/>
      <c r="H41" s="220">
        <f>SUMIF(HKM!A:A,"094*",HKM!D:D)-SUMIF(HKM!A:A,"094*",HKM!C:C)</f>
        <v>0</v>
      </c>
      <c r="I41" s="220"/>
      <c r="J41" s="238">
        <f>SUM(B41:I41)</f>
        <v>0</v>
      </c>
      <c r="L41" s="206"/>
      <c r="M41" s="219"/>
      <c r="N41" s="213"/>
    </row>
    <row r="42" spans="1:14" ht="15" customHeight="1" thickBot="1" x14ac:dyDescent="0.3">
      <c r="A42" s="239" t="s">
        <v>27</v>
      </c>
      <c r="B42" s="183"/>
      <c r="C42" s="183"/>
      <c r="D42" s="183"/>
      <c r="E42" s="183"/>
      <c r="F42" s="183"/>
      <c r="G42" s="183"/>
      <c r="H42" s="183"/>
      <c r="I42" s="183"/>
      <c r="J42" s="238">
        <f t="shared" ref="J42:J43" si="5">SUM(B42:I42)</f>
        <v>0</v>
      </c>
      <c r="N42" s="213"/>
    </row>
    <row r="43" spans="1:14" ht="15" customHeight="1" thickBot="1" x14ac:dyDescent="0.3">
      <c r="A43" s="239" t="s">
        <v>28</v>
      </c>
      <c r="B43" s="183"/>
      <c r="C43" s="183"/>
      <c r="D43" s="183"/>
      <c r="E43" s="183"/>
      <c r="F43" s="183"/>
      <c r="G43" s="183"/>
      <c r="H43" s="183"/>
      <c r="I43" s="183"/>
      <c r="J43" s="238">
        <f t="shared" si="5"/>
        <v>0</v>
      </c>
      <c r="N43" s="213"/>
    </row>
    <row r="44" spans="1:14" ht="15.75" thickBot="1" x14ac:dyDescent="0.3">
      <c r="A44" s="240" t="s">
        <v>30</v>
      </c>
      <c r="B44" s="186"/>
      <c r="C44" s="220"/>
      <c r="D44" s="220"/>
      <c r="E44" s="220"/>
      <c r="F44" s="220"/>
      <c r="G44" s="220"/>
      <c r="H44" s="220">
        <f>SUMIF(HKM!A:A,"094*",HKM!L:L)-SUMIF(HKM!A:A,"094*",HKM!K:K)</f>
        <v>0</v>
      </c>
      <c r="I44" s="220">
        <f>SUMIF(SUAM!C:C,"019",SUAM!E:E)</f>
        <v>0</v>
      </c>
      <c r="J44" s="241">
        <f>J41+J42-J43</f>
        <v>0</v>
      </c>
      <c r="L44" s="206"/>
      <c r="N44" s="213"/>
    </row>
    <row r="45" spans="1:14" ht="15" customHeight="1" thickTop="1" thickBot="1" x14ac:dyDescent="0.3">
      <c r="A45" s="235" t="s">
        <v>34</v>
      </c>
      <c r="B45" s="225"/>
      <c r="C45" s="225"/>
      <c r="D45" s="225"/>
      <c r="E45" s="225"/>
      <c r="F45" s="225"/>
      <c r="G45" s="225"/>
      <c r="H45" s="225"/>
      <c r="I45" s="225"/>
      <c r="J45" s="236"/>
    </row>
    <row r="46" spans="1:14" ht="15" customHeight="1" thickTop="1" thickBot="1" x14ac:dyDescent="0.3">
      <c r="A46" s="237" t="s">
        <v>32</v>
      </c>
      <c r="B46" s="183">
        <f>B30-B36-B41</f>
        <v>103220.21</v>
      </c>
      <c r="C46" s="183">
        <f t="shared" ref="C46:J46" si="6">C30-C36-C41</f>
        <v>1084769.8</v>
      </c>
      <c r="D46" s="183">
        <f t="shared" si="6"/>
        <v>194326.62</v>
      </c>
      <c r="E46" s="183">
        <f t="shared" si="6"/>
        <v>0</v>
      </c>
      <c r="F46" s="183">
        <f t="shared" si="6"/>
        <v>0</v>
      </c>
      <c r="G46" s="183">
        <f t="shared" si="6"/>
        <v>0</v>
      </c>
      <c r="H46" s="183">
        <f t="shared" si="6"/>
        <v>45210.36</v>
      </c>
      <c r="I46" s="183">
        <f t="shared" si="6"/>
        <v>0</v>
      </c>
      <c r="J46" s="238">
        <f t="shared" si="6"/>
        <v>1427526.9899999998</v>
      </c>
    </row>
    <row r="47" spans="1:14" ht="15" customHeight="1" thickBot="1" x14ac:dyDescent="0.3">
      <c r="A47" s="240" t="s">
        <v>30</v>
      </c>
      <c r="B47" s="186">
        <f>B34-B39-B44</f>
        <v>103220.21</v>
      </c>
      <c r="C47" s="186">
        <f t="shared" ref="C47:J47" si="7">C34-C39-C44</f>
        <v>1034433.7800000001</v>
      </c>
      <c r="D47" s="186">
        <f t="shared" si="7"/>
        <v>156263.89000000001</v>
      </c>
      <c r="E47" s="186">
        <f t="shared" si="7"/>
        <v>0</v>
      </c>
      <c r="F47" s="186">
        <f t="shared" si="7"/>
        <v>0</v>
      </c>
      <c r="G47" s="186">
        <f t="shared" si="7"/>
        <v>0</v>
      </c>
      <c r="H47" s="186">
        <f t="shared" si="7"/>
        <v>46917.58</v>
      </c>
      <c r="I47" s="186">
        <f t="shared" si="7"/>
        <v>0</v>
      </c>
      <c r="J47" s="241">
        <f t="shared" si="7"/>
        <v>1340835.9899999998</v>
      </c>
    </row>
    <row r="48" spans="1:14" ht="15.75" thickTop="1" x14ac:dyDescent="0.25">
      <c r="A48" s="215"/>
      <c r="B48" s="215"/>
      <c r="C48" s="215"/>
      <c r="D48" s="215"/>
      <c r="E48" s="215"/>
      <c r="F48" s="215"/>
      <c r="G48" s="215"/>
      <c r="H48" s="215"/>
      <c r="I48" s="215"/>
      <c r="J48" s="215"/>
    </row>
    <row r="49" spans="1:10" x14ac:dyDescent="0.25">
      <c r="A49" s="215"/>
      <c r="B49" s="215"/>
      <c r="C49" s="215"/>
      <c r="D49" s="215"/>
      <c r="E49" s="215"/>
      <c r="F49" s="215"/>
      <c r="G49" s="215"/>
      <c r="H49" s="215"/>
      <c r="I49" s="215"/>
      <c r="J49" s="215"/>
    </row>
  </sheetData>
  <mergeCells count="4">
    <mergeCell ref="A3:A4"/>
    <mergeCell ref="A27:A28"/>
    <mergeCell ref="B27:J27"/>
    <mergeCell ref="B3:J3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5"/>
  <sheetViews>
    <sheetView showGridLines="0" zoomScaleNormal="100" workbookViewId="0">
      <selection activeCell="B9" sqref="B9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47</v>
      </c>
    </row>
    <row r="2" spans="1:2" ht="21" customHeight="1" thickTop="1" thickBot="1" x14ac:dyDescent="0.3">
      <c r="A2" s="10" t="s">
        <v>40</v>
      </c>
      <c r="B2" s="11" t="s">
        <v>36</v>
      </c>
    </row>
    <row r="3" spans="1:2" ht="23.25" customHeight="1" thickTop="1" thickBot="1" x14ac:dyDescent="0.3">
      <c r="A3" s="12" t="s">
        <v>48</v>
      </c>
      <c r="B3" s="13">
        <v>1065074</v>
      </c>
    </row>
    <row r="4" spans="1:2" ht="23.25" customHeight="1" thickBot="1" x14ac:dyDescent="0.3">
      <c r="A4" s="16" t="s">
        <v>49</v>
      </c>
      <c r="B4" s="17" t="s">
        <v>18</v>
      </c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50"/>
  <sheetViews>
    <sheetView showGridLines="0" topLeftCell="A25" zoomScaleNormal="100" workbookViewId="0">
      <selection activeCell="A49" sqref="A49"/>
    </sheetView>
  </sheetViews>
  <sheetFormatPr defaultRowHeight="15" x14ac:dyDescent="0.25"/>
  <cols>
    <col min="1" max="1" width="29.140625" customWidth="1"/>
    <col min="2" max="10" width="11.28515625" customWidth="1"/>
  </cols>
  <sheetData>
    <row r="1" spans="1:33" ht="16.5" x14ac:dyDescent="0.3">
      <c r="A1" s="1" t="s">
        <v>50</v>
      </c>
    </row>
    <row r="2" spans="1:33" ht="17.25" thickBot="1" x14ac:dyDescent="0.35">
      <c r="A2" s="2" t="s">
        <v>8</v>
      </c>
    </row>
    <row r="3" spans="1:33" ht="16.5" customHeight="1" thickTop="1" thickBot="1" x14ac:dyDescent="0.3">
      <c r="A3" s="359" t="s">
        <v>55</v>
      </c>
      <c r="B3" s="361" t="s">
        <v>2</v>
      </c>
      <c r="C3" s="367"/>
      <c r="D3" s="367"/>
      <c r="E3" s="367"/>
      <c r="F3" s="367"/>
      <c r="G3" s="367"/>
      <c r="H3" s="367"/>
      <c r="I3" s="367"/>
      <c r="J3" s="362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ht="66.75" customHeight="1" thickTop="1" thickBot="1" x14ac:dyDescent="0.3">
      <c r="A4" s="363"/>
      <c r="B4" s="187" t="s">
        <v>51</v>
      </c>
      <c r="C4" s="188" t="s">
        <v>495</v>
      </c>
      <c r="D4" s="187" t="s">
        <v>52</v>
      </c>
      <c r="E4" s="188" t="s">
        <v>494</v>
      </c>
      <c r="F4" s="187" t="s">
        <v>53</v>
      </c>
      <c r="G4" s="187" t="s">
        <v>54</v>
      </c>
      <c r="H4" s="188" t="s">
        <v>446</v>
      </c>
      <c r="I4" s="187" t="s">
        <v>447</v>
      </c>
      <c r="J4" s="187" t="s">
        <v>14</v>
      </c>
    </row>
    <row r="5" spans="1:33" ht="15" customHeight="1" thickTop="1" thickBot="1" x14ac:dyDescent="0.3">
      <c r="A5" s="40" t="s">
        <v>25</v>
      </c>
      <c r="B5" s="41"/>
      <c r="C5" s="41"/>
      <c r="D5" s="41"/>
      <c r="E5" s="41"/>
      <c r="F5" s="41"/>
      <c r="G5" s="41"/>
      <c r="H5" s="41"/>
      <c r="I5" s="41"/>
      <c r="J5" s="42"/>
      <c r="K5" s="228"/>
      <c r="L5" s="228"/>
      <c r="M5" s="228"/>
      <c r="N5" s="228"/>
      <c r="O5" s="228"/>
      <c r="P5" s="228"/>
      <c r="Q5" s="228"/>
      <c r="R5" s="228"/>
      <c r="S5" s="4"/>
      <c r="T5" s="4"/>
      <c r="U5" s="4"/>
      <c r="V5" s="4"/>
      <c r="W5" s="4"/>
      <c r="X5" s="4"/>
      <c r="Y5" s="4"/>
    </row>
    <row r="6" spans="1:33" ht="24" thickTop="1" thickBot="1" x14ac:dyDescent="0.3">
      <c r="A6" s="43" t="s">
        <v>26</v>
      </c>
      <c r="B6" s="220">
        <f>SUMIF(HK!A:A,"061*",HK!C:C)-SUMIF(HK!A:A,"061*",HK!D:D)</f>
        <v>0</v>
      </c>
      <c r="C6" s="220">
        <f>SUMIF(HK!A:A,"062*",HK!C:C)-SUMIF(HK!A:A,"062*",HK!D:D)</f>
        <v>0</v>
      </c>
      <c r="D6" s="220">
        <f>SUMIF(HK!A:A,"063*",HK!C:C)-SUMIF(HK!A:A,"063*",HK!D:D)</f>
        <v>0</v>
      </c>
      <c r="E6" s="220">
        <f>SUMIF(HK!A:A,"066*",HK!C:C)-SUMIF(HK!A:A,"066*",HK!D:D)</f>
        <v>0</v>
      </c>
      <c r="F6" s="220">
        <f>SUMIF(HK!A:A,"067*",HK!C:C)-SUMIF(HK!A:A,"067*",HK!D:D)</f>
        <v>0</v>
      </c>
      <c r="G6" s="183"/>
      <c r="H6" s="220">
        <f>SUMIF(HK!A:A,"043*",HK!C:C)-SUMIF(HK!A:A,"043*",HK!D:D)</f>
        <v>0</v>
      </c>
      <c r="I6" s="220">
        <f>SUMIF(HK!A:A,"053*",HK!C:C)-SUMIF(HK!A:A,"053*",HK!D:D)</f>
        <v>0</v>
      </c>
      <c r="J6" s="15">
        <f>SUM(B6:I6)</f>
        <v>0</v>
      </c>
      <c r="K6" s="189"/>
      <c r="L6" s="206"/>
      <c r="M6" s="189"/>
      <c r="N6" s="189"/>
      <c r="O6" s="189"/>
      <c r="P6" s="189"/>
      <c r="Q6" s="189"/>
      <c r="R6" s="189"/>
    </row>
    <row r="7" spans="1:33" ht="15" customHeight="1" thickBot="1" x14ac:dyDescent="0.3">
      <c r="A7" s="14" t="s">
        <v>27</v>
      </c>
      <c r="B7" s="183"/>
      <c r="C7" s="183"/>
      <c r="D7" s="183"/>
      <c r="E7" s="183"/>
      <c r="F7" s="184"/>
      <c r="G7" s="183"/>
      <c r="H7" s="183"/>
      <c r="I7" s="183"/>
      <c r="J7" s="15">
        <f t="shared" ref="J7:J9" si="0">SUM(B7:I7)</f>
        <v>0</v>
      </c>
      <c r="K7" s="189"/>
      <c r="L7" s="189"/>
      <c r="M7" s="189"/>
      <c r="N7" s="189"/>
      <c r="O7" s="189"/>
      <c r="P7" s="189"/>
      <c r="Q7" s="189"/>
      <c r="R7" s="189"/>
    </row>
    <row r="8" spans="1:33" ht="15" customHeight="1" thickBot="1" x14ac:dyDescent="0.3">
      <c r="A8" s="14" t="s">
        <v>28</v>
      </c>
      <c r="B8" s="183"/>
      <c r="C8" s="183"/>
      <c r="D8" s="183"/>
      <c r="E8" s="183"/>
      <c r="F8" s="184"/>
      <c r="G8" s="183"/>
      <c r="H8" s="183"/>
      <c r="I8" s="183"/>
      <c r="J8" s="15">
        <f t="shared" si="0"/>
        <v>0</v>
      </c>
      <c r="K8" s="189"/>
      <c r="L8" s="189"/>
      <c r="M8" s="189"/>
      <c r="N8" s="189"/>
      <c r="O8" s="189"/>
      <c r="P8" s="189"/>
      <c r="Q8" s="189"/>
      <c r="R8" s="189"/>
    </row>
    <row r="9" spans="1:33" ht="15" customHeight="1" thickBot="1" x14ac:dyDescent="0.3">
      <c r="A9" s="14" t="s">
        <v>29</v>
      </c>
      <c r="B9" s="183"/>
      <c r="C9" s="183"/>
      <c r="D9" s="183"/>
      <c r="E9" s="183"/>
      <c r="F9" s="184"/>
      <c r="G9" s="183"/>
      <c r="H9" s="183"/>
      <c r="I9" s="183"/>
      <c r="J9" s="15">
        <f t="shared" si="0"/>
        <v>0</v>
      </c>
      <c r="K9" s="189"/>
      <c r="L9" s="189"/>
      <c r="M9" s="189"/>
      <c r="N9" s="189"/>
      <c r="O9" s="189"/>
      <c r="P9" s="189"/>
      <c r="Q9" s="189"/>
      <c r="R9" s="189"/>
    </row>
    <row r="10" spans="1:33" ht="15.75" thickBot="1" x14ac:dyDescent="0.3">
      <c r="A10" s="24" t="s">
        <v>30</v>
      </c>
      <c r="B10" s="220">
        <f>SUMIF(HK!A:A,"061*",HK!K:K)-SUMIF(HK!A:A,"061*",HK!L:L)</f>
        <v>0</v>
      </c>
      <c r="C10" s="220">
        <f>SUMIF(HK!A:A,"062*",HK!K:K)-SUMIF(HK!A:A,"062*",HK!L:L)</f>
        <v>0</v>
      </c>
      <c r="D10" s="220">
        <f>SUMIF(HK!A:A,"063*",HK!K:K)-SUMIF(HK!A:A,"063*",HK!L:L)</f>
        <v>0</v>
      </c>
      <c r="E10" s="220">
        <f>SUMIF(HK!A:A,"066*",HK!K:K)-SUMIF(HK!A:A,"066*",HK!L:L)</f>
        <v>0</v>
      </c>
      <c r="F10" s="220">
        <f>SUMIF(HK!A:A,"067*",HK!K:K)-SUMIF(HK!A:A,"067*",HK!L:L)</f>
        <v>0</v>
      </c>
      <c r="G10" s="183"/>
      <c r="H10" s="220">
        <f>SUMIF(HK!A:A,"043*",HK!K:K)-SUMIF(HK!A:A,"043*",HK!L:L)</f>
        <v>0</v>
      </c>
      <c r="I10" s="220">
        <f>SUMIF(HK!A:A,"053*",HK!K:K)-SUMIF(HK!A:A,"053*",HK!L:L)</f>
        <v>0</v>
      </c>
      <c r="J10" s="17">
        <f>J6+J7-J8+J9</f>
        <v>0</v>
      </c>
      <c r="K10" s="189"/>
      <c r="L10" s="206"/>
      <c r="M10" s="189"/>
      <c r="N10" s="189"/>
      <c r="O10" s="189"/>
      <c r="P10" s="189"/>
      <c r="Q10" s="189"/>
      <c r="R10" s="189"/>
    </row>
    <row r="11" spans="1:33" ht="15" customHeight="1" thickTop="1" thickBot="1" x14ac:dyDescent="0.3">
      <c r="A11" s="40" t="s">
        <v>31</v>
      </c>
      <c r="B11" s="225"/>
      <c r="C11" s="225"/>
      <c r="D11" s="225"/>
      <c r="E11" s="225"/>
      <c r="F11" s="225"/>
      <c r="G11" s="225"/>
      <c r="H11" s="225"/>
      <c r="I11" s="225"/>
      <c r="J11" s="42"/>
      <c r="K11" s="189"/>
      <c r="L11" s="189"/>
      <c r="M11" s="189"/>
      <c r="N11" s="189"/>
      <c r="O11" s="189"/>
      <c r="P11" s="189"/>
      <c r="Q11" s="189"/>
      <c r="R11" s="189"/>
    </row>
    <row r="12" spans="1:33" ht="15" customHeight="1" thickTop="1" thickBot="1" x14ac:dyDescent="0.3">
      <c r="A12" s="43" t="s">
        <v>32</v>
      </c>
      <c r="B12" s="183"/>
      <c r="C12" s="183"/>
      <c r="D12" s="183"/>
      <c r="E12" s="183"/>
      <c r="F12" s="183"/>
      <c r="G12" s="183"/>
      <c r="H12" s="183"/>
      <c r="I12" s="183"/>
      <c r="J12" s="15">
        <f>SUM(B12:I12)</f>
        <v>0</v>
      </c>
      <c r="K12" s="189"/>
      <c r="L12" s="189"/>
      <c r="M12" s="189"/>
      <c r="N12" s="189"/>
      <c r="O12" s="189"/>
      <c r="P12" s="189"/>
      <c r="Q12" s="189"/>
      <c r="R12" s="189"/>
    </row>
    <row r="13" spans="1:33" ht="15" customHeight="1" thickBot="1" x14ac:dyDescent="0.3">
      <c r="A13" s="14" t="s">
        <v>27</v>
      </c>
      <c r="B13" s="183"/>
      <c r="C13" s="183"/>
      <c r="D13" s="183"/>
      <c r="E13" s="183"/>
      <c r="F13" s="183"/>
      <c r="G13" s="183"/>
      <c r="H13" s="183"/>
      <c r="I13" s="183"/>
      <c r="J13" s="15">
        <f t="shared" ref="J13:J14" si="1">SUM(B13:I13)</f>
        <v>0</v>
      </c>
      <c r="K13" s="189"/>
      <c r="L13" s="189"/>
      <c r="M13" s="189"/>
      <c r="N13" s="189"/>
      <c r="O13" s="189"/>
      <c r="P13" s="189"/>
      <c r="Q13" s="189"/>
      <c r="R13" s="189"/>
    </row>
    <row r="14" spans="1:33" ht="15" customHeight="1" thickBot="1" x14ac:dyDescent="0.3">
      <c r="A14" s="14" t="s">
        <v>28</v>
      </c>
      <c r="B14" s="183"/>
      <c r="C14" s="183"/>
      <c r="D14" s="183"/>
      <c r="E14" s="183"/>
      <c r="F14" s="183"/>
      <c r="G14" s="183"/>
      <c r="H14" s="183"/>
      <c r="I14" s="183"/>
      <c r="J14" s="15">
        <f t="shared" si="1"/>
        <v>0</v>
      </c>
      <c r="K14" s="189"/>
      <c r="L14" s="189"/>
      <c r="M14" s="189"/>
      <c r="N14" s="189"/>
      <c r="O14" s="189"/>
      <c r="P14" s="189"/>
      <c r="Q14" s="189"/>
      <c r="R14" s="189"/>
    </row>
    <row r="15" spans="1:33" ht="15" customHeight="1" thickBot="1" x14ac:dyDescent="0.3">
      <c r="A15" s="24" t="s">
        <v>30</v>
      </c>
      <c r="B15" s="186"/>
      <c r="C15" s="186"/>
      <c r="D15" s="186"/>
      <c r="E15" s="186"/>
      <c r="F15" s="186"/>
      <c r="G15" s="186"/>
      <c r="H15" s="186"/>
      <c r="I15" s="186"/>
      <c r="J15" s="17">
        <f>J12+J13-J14</f>
        <v>0</v>
      </c>
      <c r="K15" s="189"/>
      <c r="L15" s="189"/>
      <c r="M15" s="189"/>
      <c r="N15" s="189"/>
      <c r="O15" s="189"/>
      <c r="P15" s="189"/>
      <c r="Q15" s="189"/>
      <c r="R15" s="189"/>
    </row>
    <row r="16" spans="1:33" ht="15" customHeight="1" thickTop="1" thickBot="1" x14ac:dyDescent="0.3">
      <c r="A16" s="40" t="s">
        <v>33</v>
      </c>
      <c r="B16" s="225"/>
      <c r="C16" s="225"/>
      <c r="D16" s="225"/>
      <c r="E16" s="225"/>
      <c r="F16" s="225"/>
      <c r="G16" s="225"/>
      <c r="H16" s="225"/>
      <c r="I16" s="225"/>
      <c r="J16" s="42"/>
      <c r="K16" s="189"/>
      <c r="L16" s="189"/>
      <c r="M16" s="189"/>
      <c r="N16" s="189"/>
      <c r="O16" s="189"/>
      <c r="P16" s="189"/>
      <c r="Q16" s="189"/>
      <c r="R16" s="189"/>
    </row>
    <row r="17" spans="1:33" ht="24" thickTop="1" thickBot="1" x14ac:dyDescent="0.3">
      <c r="A17" s="43" t="s">
        <v>32</v>
      </c>
      <c r="B17" s="220"/>
      <c r="C17" s="220"/>
      <c r="D17" s="220"/>
      <c r="E17" s="220"/>
      <c r="F17" s="220"/>
      <c r="G17" s="220"/>
      <c r="H17" s="220"/>
      <c r="I17" s="220">
        <f>SUMIF(SUAM!C:C,"029",SUAM!E:E)</f>
        <v>0</v>
      </c>
      <c r="J17" s="15">
        <f>SUM(B17:I17)</f>
        <v>0</v>
      </c>
      <c r="K17" s="189"/>
      <c r="L17" s="206"/>
      <c r="M17" s="189"/>
      <c r="N17" s="213"/>
      <c r="O17" s="189"/>
      <c r="P17" s="189"/>
      <c r="Q17" s="189"/>
      <c r="R17" s="189"/>
    </row>
    <row r="18" spans="1:33" ht="15" customHeight="1" thickBot="1" x14ac:dyDescent="0.3">
      <c r="A18" s="14" t="s">
        <v>27</v>
      </c>
      <c r="B18" s="183"/>
      <c r="C18" s="183"/>
      <c r="D18" s="183"/>
      <c r="E18" s="183"/>
      <c r="F18" s="183"/>
      <c r="G18" s="183"/>
      <c r="H18" s="183"/>
      <c r="I18" s="183"/>
      <c r="J18" s="15">
        <f>SUM(B18:I18)</f>
        <v>0</v>
      </c>
      <c r="K18" s="189"/>
      <c r="L18" s="189"/>
      <c r="M18" s="189"/>
      <c r="N18" s="189"/>
      <c r="O18" s="189"/>
      <c r="P18" s="189"/>
      <c r="Q18" s="189"/>
      <c r="R18" s="189"/>
    </row>
    <row r="19" spans="1:33" ht="15" customHeight="1" thickBot="1" x14ac:dyDescent="0.3">
      <c r="A19" s="14" t="s">
        <v>28</v>
      </c>
      <c r="B19" s="183"/>
      <c r="C19" s="183"/>
      <c r="D19" s="183"/>
      <c r="E19" s="183"/>
      <c r="F19" s="183"/>
      <c r="G19" s="183"/>
      <c r="H19" s="183"/>
      <c r="I19" s="183"/>
      <c r="J19" s="15">
        <f>SUM(B19:I19)</f>
        <v>0</v>
      </c>
      <c r="K19" s="189"/>
      <c r="L19" s="189"/>
      <c r="M19" s="189"/>
      <c r="N19" s="189"/>
      <c r="O19" s="189"/>
      <c r="P19" s="189"/>
      <c r="Q19" s="189"/>
      <c r="R19" s="189"/>
    </row>
    <row r="20" spans="1:33" ht="15.75" thickBot="1" x14ac:dyDescent="0.3">
      <c r="A20" s="24" t="s">
        <v>30</v>
      </c>
      <c r="B20" s="220"/>
      <c r="C20" s="220"/>
      <c r="D20" s="220"/>
      <c r="E20" s="220"/>
      <c r="F20" s="220"/>
      <c r="G20" s="220"/>
      <c r="H20" s="220"/>
      <c r="I20" s="220">
        <f>SUMIF(SUA!C:C,"029",SUA!E:E)</f>
        <v>0</v>
      </c>
      <c r="J20" s="17">
        <f>J17+J18-J19</f>
        <v>0</v>
      </c>
      <c r="K20" s="189"/>
      <c r="L20" s="206"/>
      <c r="M20" s="189"/>
      <c r="N20" s="213"/>
      <c r="O20" s="189"/>
      <c r="P20" s="189"/>
      <c r="Q20" s="189"/>
      <c r="R20" s="189"/>
    </row>
    <row r="21" spans="1:33" ht="15" customHeight="1" thickTop="1" thickBot="1" x14ac:dyDescent="0.3">
      <c r="A21" s="40" t="s">
        <v>34</v>
      </c>
      <c r="B21" s="225"/>
      <c r="C21" s="225"/>
      <c r="D21" s="225"/>
      <c r="E21" s="225"/>
      <c r="F21" s="225"/>
      <c r="G21" s="225"/>
      <c r="H21" s="225"/>
      <c r="I21" s="225"/>
      <c r="J21" s="42"/>
      <c r="K21" s="189"/>
      <c r="L21" s="189"/>
      <c r="M21" s="189"/>
      <c r="N21" s="189"/>
      <c r="O21" s="189"/>
      <c r="P21" s="189"/>
      <c r="Q21" s="189"/>
      <c r="R21" s="189"/>
    </row>
    <row r="22" spans="1:33" ht="15" customHeight="1" thickTop="1" thickBot="1" x14ac:dyDescent="0.3">
      <c r="A22" s="43" t="s">
        <v>32</v>
      </c>
      <c r="B22" s="183"/>
      <c r="C22" s="183"/>
      <c r="D22" s="183"/>
      <c r="E22" s="183"/>
      <c r="F22" s="183"/>
      <c r="G22" s="183"/>
      <c r="H22" s="183"/>
      <c r="I22" s="183"/>
      <c r="J22" s="15">
        <f t="shared" ref="J22" si="2">J6-J12-J17</f>
        <v>0</v>
      </c>
    </row>
    <row r="23" spans="1:33" ht="15" customHeight="1" thickBot="1" x14ac:dyDescent="0.3">
      <c r="A23" s="24" t="s">
        <v>30</v>
      </c>
      <c r="B23" s="186"/>
      <c r="C23" s="186"/>
      <c r="D23" s="186"/>
      <c r="E23" s="186"/>
      <c r="F23" s="186"/>
      <c r="G23" s="186"/>
      <c r="H23" s="186"/>
      <c r="I23" s="186"/>
      <c r="J23" s="17">
        <f t="shared" ref="J23" si="3">J10-J15-J20</f>
        <v>0</v>
      </c>
    </row>
    <row r="24" spans="1:33" ht="15.75" thickTop="1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</row>
    <row r="25" spans="1:33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</row>
    <row r="26" spans="1:33" ht="15.75" thickBot="1" x14ac:dyDescent="0.3">
      <c r="A26" s="215" t="s">
        <v>15</v>
      </c>
      <c r="B26" s="215"/>
      <c r="C26" s="215"/>
      <c r="D26" s="215"/>
      <c r="E26" s="215"/>
      <c r="F26" s="215"/>
      <c r="G26" s="215"/>
      <c r="H26" s="215"/>
      <c r="I26" s="215"/>
      <c r="J26" s="215"/>
    </row>
    <row r="27" spans="1:33" ht="16.5" customHeight="1" thickTop="1" thickBot="1" x14ac:dyDescent="0.3">
      <c r="A27" s="368" t="s">
        <v>55</v>
      </c>
      <c r="B27" s="364" t="s">
        <v>3</v>
      </c>
      <c r="C27" s="365"/>
      <c r="D27" s="365"/>
      <c r="E27" s="365"/>
      <c r="F27" s="365"/>
      <c r="G27" s="365"/>
      <c r="H27" s="365"/>
      <c r="I27" s="365"/>
      <c r="J27" s="366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spans="1:33" ht="66.75" customHeight="1" thickTop="1" thickBot="1" x14ac:dyDescent="0.3">
      <c r="A28" s="369"/>
      <c r="B28" s="218" t="s">
        <v>51</v>
      </c>
      <c r="C28" s="217" t="s">
        <v>495</v>
      </c>
      <c r="D28" s="218" t="s">
        <v>52</v>
      </c>
      <c r="E28" s="217" t="s">
        <v>494</v>
      </c>
      <c r="F28" s="218" t="s">
        <v>53</v>
      </c>
      <c r="G28" s="218" t="s">
        <v>54</v>
      </c>
      <c r="H28" s="217" t="s">
        <v>446</v>
      </c>
      <c r="I28" s="218" t="s">
        <v>447</v>
      </c>
      <c r="J28" s="218" t="s">
        <v>14</v>
      </c>
    </row>
    <row r="29" spans="1:33" ht="15" customHeight="1" thickTop="1" thickBot="1" x14ac:dyDescent="0.3">
      <c r="A29" s="229" t="s">
        <v>25</v>
      </c>
      <c r="B29" s="208"/>
      <c r="C29" s="208"/>
      <c r="D29" s="208"/>
      <c r="E29" s="208"/>
      <c r="F29" s="208"/>
      <c r="G29" s="208"/>
      <c r="H29" s="208"/>
      <c r="I29" s="208"/>
      <c r="J29" s="209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33" ht="24" thickTop="1" thickBot="1" x14ac:dyDescent="0.3">
      <c r="A30" s="230" t="s">
        <v>26</v>
      </c>
      <c r="B30" s="220">
        <f>SUMIF(HKM!A:A,"061*",HKM!C:C)-SUMIF(HKM!A:A,"061*",HKM!D:D)</f>
        <v>0</v>
      </c>
      <c r="C30" s="220">
        <f>SUMIF(HKM!A:A,"062*",HKM!C:C)-SUMIF(HKM!A:A,"062*",HKM!D:D)</f>
        <v>0</v>
      </c>
      <c r="D30" s="220">
        <f>SUMIF(HKM!A:A,"063*",HKM!C:C)-SUMIF(HKM!A:A,"063*",HKM!D:D)</f>
        <v>0</v>
      </c>
      <c r="E30" s="220">
        <f>SUMIF(HKM!A:A,"066*",HKM!C:C)-SUMIF(HKM!A:A,"066*",HKM!D:D)</f>
        <v>0</v>
      </c>
      <c r="F30" s="220">
        <f>SUMIF(HKM!A:A,"067*",HKM!C:C)-SUMIF(HKM!A:A,"067*",HKM!D:D)</f>
        <v>0</v>
      </c>
      <c r="G30" s="183"/>
      <c r="H30" s="220">
        <f>SUMIF(HKM!A:A,"043*",HKM!C:C)-SUMIF(HKM!A:A,"043*",HKM!D:D)</f>
        <v>0</v>
      </c>
      <c r="I30" s="220">
        <f>SUMIF(HKM!A:A,"053*",HKM!C:C)-SUMIF(HKM!A:A,"053*",HKM!D:D)</f>
        <v>0</v>
      </c>
      <c r="J30" s="205">
        <f>SUM(B30:I30)</f>
        <v>0</v>
      </c>
      <c r="K30" s="189"/>
      <c r="L30" s="206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</row>
    <row r="31" spans="1:33" ht="15" customHeight="1" thickBot="1" x14ac:dyDescent="0.3">
      <c r="A31" s="231" t="s">
        <v>27</v>
      </c>
      <c r="B31" s="183"/>
      <c r="C31" s="183"/>
      <c r="D31" s="183"/>
      <c r="E31" s="183"/>
      <c r="F31" s="184"/>
      <c r="G31" s="183"/>
      <c r="H31" s="183"/>
      <c r="I31" s="183"/>
      <c r="J31" s="205">
        <f t="shared" ref="J31:J33" si="4">SUM(B31:I31)</f>
        <v>0</v>
      </c>
      <c r="K31" s="189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</row>
    <row r="32" spans="1:33" ht="15" customHeight="1" thickBot="1" x14ac:dyDescent="0.3">
      <c r="A32" s="231" t="s">
        <v>28</v>
      </c>
      <c r="B32" s="243"/>
      <c r="C32" s="183"/>
      <c r="D32" s="183"/>
      <c r="E32" s="183"/>
      <c r="F32" s="184"/>
      <c r="G32" s="183"/>
      <c r="H32" s="183"/>
      <c r="I32" s="183"/>
      <c r="J32" s="205">
        <f t="shared" si="4"/>
        <v>0</v>
      </c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</row>
    <row r="33" spans="1:23" ht="15" customHeight="1" thickBot="1" x14ac:dyDescent="0.3">
      <c r="A33" s="231" t="s">
        <v>29</v>
      </c>
      <c r="B33" s="183"/>
      <c r="C33" s="183"/>
      <c r="D33" s="183"/>
      <c r="E33" s="183"/>
      <c r="F33" s="184"/>
      <c r="G33" s="183"/>
      <c r="H33" s="183"/>
      <c r="I33" s="183"/>
      <c r="J33" s="205">
        <f t="shared" si="4"/>
        <v>0</v>
      </c>
      <c r="K33" s="189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9"/>
    </row>
    <row r="34" spans="1:23" ht="15.75" thickBot="1" x14ac:dyDescent="0.3">
      <c r="A34" s="232" t="s">
        <v>30</v>
      </c>
      <c r="B34" s="220">
        <f>SUMIF(HKM!A:A,"061*",HKM!K:K)-SUMIF(HKM!A:A,"061*",HKM!L:L)</f>
        <v>0</v>
      </c>
      <c r="C34" s="220">
        <f>SUMIF(HKM!A:A,"062*",HKM!K:K)-SUMIF(HKM!A:A,"062*",HKM!L:L)</f>
        <v>0</v>
      </c>
      <c r="D34" s="220">
        <f>SUMIF(HKM!A:A,"063*",HKM!K:K)-SUMIF(HKM!A:A,"063*",HKM!L:L)</f>
        <v>0</v>
      </c>
      <c r="E34" s="220">
        <f>SUMIF(HKM!A:A,"066*",HKM!K:K)-SUMIF(HKM!A:A,"066*",HKM!L:L)</f>
        <v>0</v>
      </c>
      <c r="F34" s="220">
        <f>SUMIF(HKM!A:A,"067*",HKM!K:K)-SUMIF(HKM!A:A,"067*",HKM!L:L)</f>
        <v>0</v>
      </c>
      <c r="G34" s="183"/>
      <c r="H34" s="220">
        <f>SUMIF(HKM!A:A,"043*",HKM!K:K)-SUMIF(HKM!A:A,"043*",HKM!L:L)</f>
        <v>0</v>
      </c>
      <c r="I34" s="220">
        <f>SUMIF(HKM!A:A,"053*",HKM!K:K)-SUMIF(HKM!A:A,"053*",HKM!L:L)</f>
        <v>0</v>
      </c>
      <c r="J34" s="207">
        <f>J30+J31-J32+J33</f>
        <v>0</v>
      </c>
      <c r="K34" s="189"/>
      <c r="L34" s="206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</row>
    <row r="35" spans="1:23" ht="15" customHeight="1" thickTop="1" thickBot="1" x14ac:dyDescent="0.3">
      <c r="A35" s="229" t="s">
        <v>31</v>
      </c>
      <c r="B35" s="221"/>
      <c r="C35" s="221"/>
      <c r="D35" s="221"/>
      <c r="E35" s="221"/>
      <c r="F35" s="221"/>
      <c r="G35" s="221"/>
      <c r="H35" s="221"/>
      <c r="I35" s="221"/>
      <c r="J35" s="209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</row>
    <row r="36" spans="1:23" ht="15" customHeight="1" thickTop="1" thickBot="1" x14ac:dyDescent="0.3">
      <c r="A36" s="230" t="s">
        <v>32</v>
      </c>
      <c r="B36" s="210"/>
      <c r="C36" s="210"/>
      <c r="D36" s="210"/>
      <c r="E36" s="210"/>
      <c r="F36" s="210"/>
      <c r="G36" s="210"/>
      <c r="H36" s="210"/>
      <c r="I36" s="210"/>
      <c r="J36" s="205">
        <f>SUM(B36:I36)</f>
        <v>0</v>
      </c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</row>
    <row r="37" spans="1:23" ht="15" customHeight="1" thickBot="1" x14ac:dyDescent="0.3">
      <c r="A37" s="231" t="s">
        <v>27</v>
      </c>
      <c r="B37" s="210"/>
      <c r="C37" s="210"/>
      <c r="D37" s="210"/>
      <c r="E37" s="210"/>
      <c r="F37" s="210"/>
      <c r="G37" s="210"/>
      <c r="H37" s="210"/>
      <c r="I37" s="210"/>
      <c r="J37" s="205">
        <f t="shared" ref="J37:J38" si="5">SUM(B37:I37)</f>
        <v>0</v>
      </c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</row>
    <row r="38" spans="1:23" ht="15" customHeight="1" thickBot="1" x14ac:dyDescent="0.3">
      <c r="A38" s="231" t="s">
        <v>28</v>
      </c>
      <c r="B38" s="210"/>
      <c r="C38" s="210"/>
      <c r="D38" s="210"/>
      <c r="E38" s="210"/>
      <c r="F38" s="210"/>
      <c r="G38" s="210"/>
      <c r="H38" s="210"/>
      <c r="I38" s="210"/>
      <c r="J38" s="205">
        <f t="shared" si="5"/>
        <v>0</v>
      </c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</row>
    <row r="39" spans="1:23" ht="15" customHeight="1" thickBot="1" x14ac:dyDescent="0.3">
      <c r="A39" s="232" t="s">
        <v>30</v>
      </c>
      <c r="B39" s="211"/>
      <c r="C39" s="211"/>
      <c r="D39" s="211"/>
      <c r="E39" s="211"/>
      <c r="F39" s="211"/>
      <c r="G39" s="211"/>
      <c r="H39" s="211"/>
      <c r="I39" s="211"/>
      <c r="J39" s="207">
        <f>J36+J37-J38</f>
        <v>0</v>
      </c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</row>
    <row r="40" spans="1:23" ht="15" customHeight="1" thickTop="1" thickBot="1" x14ac:dyDescent="0.3">
      <c r="A40" s="229" t="s">
        <v>33</v>
      </c>
      <c r="B40" s="221"/>
      <c r="C40" s="221"/>
      <c r="D40" s="221"/>
      <c r="E40" s="221"/>
      <c r="F40" s="221"/>
      <c r="G40" s="221"/>
      <c r="H40" s="221"/>
      <c r="I40" s="221"/>
      <c r="J40" s="20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</row>
    <row r="41" spans="1:23" ht="24" thickTop="1" thickBot="1" x14ac:dyDescent="0.3">
      <c r="A41" s="230" t="s">
        <v>32</v>
      </c>
      <c r="B41" s="220"/>
      <c r="C41" s="220"/>
      <c r="D41" s="220"/>
      <c r="E41" s="220"/>
      <c r="F41" s="220"/>
      <c r="G41" s="220"/>
      <c r="H41" s="220"/>
      <c r="I41" s="224"/>
      <c r="J41" s="205">
        <f>SUM(B41:I41)</f>
        <v>0</v>
      </c>
      <c r="K41" s="189"/>
      <c r="L41" s="206"/>
      <c r="M41" s="219"/>
      <c r="N41" s="213"/>
      <c r="O41" s="189"/>
      <c r="P41" s="189"/>
      <c r="Q41" s="189"/>
      <c r="R41" s="189"/>
      <c r="S41" s="189"/>
      <c r="T41" s="189"/>
      <c r="U41" s="189"/>
      <c r="V41" s="189"/>
      <c r="W41" s="189"/>
    </row>
    <row r="42" spans="1:23" ht="15" customHeight="1" thickBot="1" x14ac:dyDescent="0.3">
      <c r="A42" s="231" t="s">
        <v>27</v>
      </c>
      <c r="B42" s="183"/>
      <c r="C42" s="183"/>
      <c r="D42" s="183"/>
      <c r="E42" s="183"/>
      <c r="F42" s="183"/>
      <c r="G42" s="183"/>
      <c r="H42" s="183"/>
      <c r="I42" s="210"/>
      <c r="J42" s="205">
        <f t="shared" ref="J42:J43" si="6">SUM(B42:I42)</f>
        <v>0</v>
      </c>
      <c r="K42" s="18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</row>
    <row r="43" spans="1:23" ht="15" customHeight="1" thickBot="1" x14ac:dyDescent="0.3">
      <c r="A43" s="231" t="s">
        <v>28</v>
      </c>
      <c r="B43" s="183"/>
      <c r="C43" s="183"/>
      <c r="D43" s="183"/>
      <c r="E43" s="183"/>
      <c r="F43" s="183"/>
      <c r="G43" s="183"/>
      <c r="H43" s="183"/>
      <c r="I43" s="210"/>
      <c r="J43" s="205">
        <f t="shared" si="6"/>
        <v>0</v>
      </c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</row>
    <row r="44" spans="1:23" ht="15.75" thickBot="1" x14ac:dyDescent="0.3">
      <c r="A44" s="232" t="s">
        <v>30</v>
      </c>
      <c r="B44" s="220"/>
      <c r="C44" s="220"/>
      <c r="D44" s="220"/>
      <c r="E44" s="220"/>
      <c r="F44" s="220"/>
      <c r="G44" s="220"/>
      <c r="H44" s="220"/>
      <c r="I44" s="220">
        <f>SUMIF(SUAM!C:C,"029",SUAM!E:E)</f>
        <v>0</v>
      </c>
      <c r="J44" s="207">
        <f>J41+J42-J43</f>
        <v>0</v>
      </c>
      <c r="K44" s="189"/>
      <c r="L44" s="206"/>
      <c r="M44" s="189"/>
      <c r="N44" s="213"/>
      <c r="O44" s="189"/>
      <c r="P44" s="189"/>
      <c r="Q44" s="189"/>
      <c r="R44" s="189"/>
      <c r="S44" s="189"/>
      <c r="T44" s="189"/>
      <c r="U44" s="189"/>
      <c r="V44" s="189"/>
      <c r="W44" s="189"/>
    </row>
    <row r="45" spans="1:23" ht="15" customHeight="1" thickTop="1" thickBot="1" x14ac:dyDescent="0.3">
      <c r="A45" s="229" t="s">
        <v>34</v>
      </c>
      <c r="B45" s="208"/>
      <c r="C45" s="208"/>
      <c r="D45" s="208"/>
      <c r="E45" s="208"/>
      <c r="F45" s="208"/>
      <c r="G45" s="208"/>
      <c r="H45" s="208"/>
      <c r="I45" s="208"/>
      <c r="J45" s="20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</row>
    <row r="46" spans="1:23" ht="15" customHeight="1" thickTop="1" thickBot="1" x14ac:dyDescent="0.3">
      <c r="A46" s="230" t="s">
        <v>32</v>
      </c>
      <c r="B46" s="210"/>
      <c r="C46" s="210"/>
      <c r="D46" s="210"/>
      <c r="E46" s="210"/>
      <c r="F46" s="210"/>
      <c r="G46" s="210"/>
      <c r="H46" s="210"/>
      <c r="I46" s="210"/>
      <c r="J46" s="205">
        <f t="shared" ref="J46" si="7">J30-J36-J41</f>
        <v>0</v>
      </c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</row>
    <row r="47" spans="1:23" ht="15" customHeight="1" thickBot="1" x14ac:dyDescent="0.3">
      <c r="A47" s="232" t="s">
        <v>30</v>
      </c>
      <c r="B47" s="211"/>
      <c r="C47" s="211"/>
      <c r="D47" s="211"/>
      <c r="E47" s="211"/>
      <c r="F47" s="211"/>
      <c r="G47" s="211"/>
      <c r="H47" s="211"/>
      <c r="I47" s="211"/>
      <c r="J47" s="207">
        <f t="shared" ref="J47" si="8">J34-J39-J44</f>
        <v>0</v>
      </c>
    </row>
    <row r="48" spans="1:23" ht="15.75" thickTop="1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</row>
    <row r="49" spans="1:10" x14ac:dyDescent="0.25">
      <c r="A49" s="323" t="s">
        <v>1481</v>
      </c>
      <c r="B49" s="18"/>
      <c r="C49" s="18"/>
      <c r="D49" s="18"/>
      <c r="E49" s="18"/>
      <c r="F49" s="18"/>
      <c r="G49" s="18"/>
      <c r="H49" s="18"/>
      <c r="I49" s="18"/>
      <c r="J49" s="18"/>
    </row>
    <row r="50" spans="1:10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</row>
  </sheetData>
  <mergeCells count="4">
    <mergeCell ref="A27:A28"/>
    <mergeCell ref="B27:J27"/>
    <mergeCell ref="A3:A4"/>
    <mergeCell ref="B3:J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66</vt:i4>
      </vt:variant>
    </vt:vector>
  </HeadingPairs>
  <TitlesOfParts>
    <vt:vector size="66" baseType="lpstr">
      <vt:lpstr>VYSVETLIVKY</vt:lpstr>
      <vt:lpstr>1</vt:lpstr>
      <vt:lpstr>2</vt:lpstr>
      <vt:lpstr>2_tabulka c.2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12_tabulka c.2</vt:lpstr>
      <vt:lpstr>13</vt:lpstr>
      <vt:lpstr>14_tabulka 1 a 3</vt:lpstr>
      <vt:lpstr>14_tabulka 2 a 4</vt:lpstr>
      <vt:lpstr>15</vt:lpstr>
      <vt:lpstr>16</vt:lpstr>
      <vt:lpstr>16_tabulka c.2</vt:lpstr>
      <vt:lpstr>17</vt:lpstr>
      <vt:lpstr>18</vt:lpstr>
      <vt:lpstr>18_tabulka c.2</vt:lpstr>
      <vt:lpstr>19</vt:lpstr>
      <vt:lpstr>20</vt:lpstr>
      <vt:lpstr>21</vt:lpstr>
      <vt:lpstr>22</vt:lpstr>
      <vt:lpstr>23</vt:lpstr>
      <vt:lpstr>24</vt:lpstr>
      <vt:lpstr>24_tabulky 3 a 4</vt:lpstr>
      <vt:lpstr>25</vt:lpstr>
      <vt:lpstr>26</vt:lpstr>
      <vt:lpstr>27</vt:lpstr>
      <vt:lpstr>28</vt:lpstr>
      <vt:lpstr>29</vt:lpstr>
      <vt:lpstr>30</vt:lpstr>
      <vt:lpstr>31</vt:lpstr>
      <vt:lpstr>32</vt:lpstr>
      <vt:lpstr>32_tabulka 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2014-08-19T07:55:56Z</dcterms:modified>
</cp:coreProperties>
</file>