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360" windowWidth="11460" windowHeight="6300" tabRatio="847" activeTab="2"/>
  </bookViews>
  <sheets>
    <sheet name="input data" sheetId="13" r:id="rId1"/>
    <sheet name="titulny list" sheetId="15" r:id="rId2"/>
    <sheet name="súvaha_vykaz" sheetId="2" r:id="rId3"/>
    <sheet name="VZaS_vykaz" sheetId="5" r:id="rId4"/>
    <sheet name="osnova" sheetId="14" r:id="rId5"/>
    <sheet name="zdroj HK" sheetId="9" r:id="rId6"/>
    <sheet name="HK 20.2.2014" sheetId="19" state="hidden" r:id="rId7"/>
    <sheet name="HK 12.2.2014" sheetId="17" state="hidden" r:id="rId8"/>
    <sheet name="HK 19.2.2014" sheetId="18" state="hidden" r:id="rId9"/>
    <sheet name="HK 2014" sheetId="34" r:id="rId10"/>
    <sheet name="VC" sheetId="35" r:id="rId11"/>
    <sheet name="PL" sheetId="31" r:id="rId12"/>
    <sheet name="uvod" sheetId="21" r:id="rId13"/>
    <sheet name="VC detail" sheetId="26" state="hidden" r:id="rId14"/>
    <sheet name="tabulky Aktiva" sheetId="22" r:id="rId15"/>
    <sheet name="tabulky Pasiva" sheetId="23" r:id="rId16"/>
    <sheet name="Vynosy" sheetId="24" r:id="rId17"/>
    <sheet name="Naklady" sheetId="25" r:id="rId18"/>
    <sheet name="Podsuvaha" sheetId="28" r:id="rId19"/>
    <sheet name="311 ageing" sheetId="32" r:id="rId20"/>
    <sheet name="321 ageing" sheetId="33" r:id="rId21"/>
    <sheet name="518 v 2013" sheetId="36" r:id="rId22"/>
  </sheets>
  <externalReferences>
    <externalReference r:id="rId23"/>
  </externalReferences>
  <definedNames>
    <definedName name="_Fill" localSheetId="9" hidden="1">#REF!</definedName>
    <definedName name="_Fill" hidden="1">#REF!</definedName>
    <definedName name="_xlnm._FilterDatabase" localSheetId="19" hidden="1">'311 ageing'!$A$5:$K$35</definedName>
    <definedName name="_xlnm._FilterDatabase" localSheetId="20" hidden="1">'321 ageing'!$A$3:$J$249</definedName>
    <definedName name="_xlnm._FilterDatabase" localSheetId="21" hidden="1">'518 v 2013'!$A$1:$N$35</definedName>
    <definedName name="_xlnm._FilterDatabase" localSheetId="6" hidden="1">'HK 20.2.2014'!$A$2:$P$324</definedName>
    <definedName name="_xlnm._FilterDatabase" localSheetId="9" hidden="1">'HK 2014'!$B$4:$I$354</definedName>
    <definedName name="_xlnm._FilterDatabase" localSheetId="4" hidden="1">osnova!$B$1:$I$408</definedName>
    <definedName name="_xlnm._FilterDatabase" localSheetId="11" hidden="1">PL!$A$3:$AJ$275</definedName>
    <definedName name="_xlnm._FilterDatabase" localSheetId="2" hidden="1">súvaha_vykaz!$H$3:$H$130</definedName>
    <definedName name="_xlnm._FilterDatabase" localSheetId="3" hidden="1">VZaS_vykaz!$A$3:$G$44</definedName>
    <definedName name="_xlnm._FilterDatabase" localSheetId="5" hidden="1">'zdroj HK'!$A$1:$A$613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Area" localSheetId="2">súvaha_vykaz!$A$1:$G$118</definedName>
    <definedName name="_xlnm.Print_Area" localSheetId="1">'titulny list'!$B$2:$AL$50</definedName>
    <definedName name="_xlnm.Print_Area" localSheetId="3">VZaS_vykaz!$A$1:$G$90</definedName>
    <definedName name="tabulka1" localSheetId="9">#REF!</definedName>
    <definedName name="tabulka1">#REF!</definedName>
    <definedName name="tabulka10" localSheetId="9">#REF!</definedName>
    <definedName name="tabulka10">#REF!</definedName>
    <definedName name="tabulka11" localSheetId="9">#REF!</definedName>
    <definedName name="tabulka11">#REF!</definedName>
    <definedName name="tabulka12">#REF!</definedName>
    <definedName name="tabulka13">#REF!</definedName>
    <definedName name="tabulka14">#REF!</definedName>
    <definedName name="tabulka15">#REF!</definedName>
    <definedName name="tabulka16">#REF!</definedName>
    <definedName name="tabulka17">#REF!</definedName>
    <definedName name="tabulka18">#REF!</definedName>
    <definedName name="tabulka19">#REF!</definedName>
    <definedName name="tabulka2">#REF!</definedName>
    <definedName name="tabulka20">#REF!</definedName>
    <definedName name="tabulka21">#REF!</definedName>
    <definedName name="tabulka22">#REF!</definedName>
    <definedName name="tabulka23">#REF!</definedName>
    <definedName name="tabulka24">#REF!</definedName>
    <definedName name="tabulka25">#REF!</definedName>
    <definedName name="tabulka26">#REF!</definedName>
    <definedName name="tabulka27">#REF!</definedName>
    <definedName name="tabulka28">#REF!</definedName>
    <definedName name="tabulka29">#REF!</definedName>
    <definedName name="tabulka3">#REF!</definedName>
    <definedName name="tabulka30">#REF!</definedName>
    <definedName name="tabulka31">#REF!</definedName>
    <definedName name="tabulka32">#REF!</definedName>
    <definedName name="tabulka33">#REF!</definedName>
    <definedName name="tabulka34">#REF!</definedName>
    <definedName name="tabulka35">#REF!</definedName>
    <definedName name="tabulka36">#REF!</definedName>
    <definedName name="tabulka37">#REF!</definedName>
    <definedName name="tabulka38">#REF!</definedName>
    <definedName name="tabulka39">#REF!</definedName>
    <definedName name="tabulka4">#REF!</definedName>
    <definedName name="tabulka41">#REF!</definedName>
    <definedName name="tabulka42">#REF!</definedName>
    <definedName name="tabulka5">#REF!</definedName>
    <definedName name="tabulka6">#REF!</definedName>
    <definedName name="tabulka7">#REF!</definedName>
    <definedName name="tabulka8">#REF!</definedName>
    <definedName name="tabulkaxxx">#REF!</definedName>
    <definedName name="Účty">[1]Sheet3!$A$4:$BF$371</definedName>
    <definedName name="VER_CF_BALANCES" localSheetId="9">#REF!</definedName>
    <definedName name="VER_CF_BALANCES">#REF!</definedName>
    <definedName name="VER_SCH_10" localSheetId="9">#REF!</definedName>
    <definedName name="VER_SCH_10">#REF!</definedName>
    <definedName name="VER_SCH_14" localSheetId="9">#REF!</definedName>
    <definedName name="VER_SCH_14">#REF!</definedName>
    <definedName name="VER_SCH_2">#REF!</definedName>
    <definedName name="VER_SCH_7">#REF!</definedName>
    <definedName name="Visit">[1]Sheet2!$I$3</definedName>
    <definedName name="XDO_?ACCTDATA?">#REF!</definedName>
    <definedName name="XDO_?ACCTDESC?">#REF!</definedName>
    <definedName name="XDO_?BEGIN_BALANCE?">#REF!</definedName>
    <definedName name="XDO_?CF_PBFIELD?">#REF!</definedName>
    <definedName name="XDO_?CF_PBPROMPT?">#REF!</definedName>
    <definedName name="XDO_?CF_STREDISKA?">#REF!</definedName>
    <definedName name="XDO_?CF_TYP_CIASTKY?">#REF!</definedName>
    <definedName name="XDO_?DISP_PB_LPROMPT?">#REF!</definedName>
    <definedName name="XDO_?END_BALANCE?">#REF!</definedName>
    <definedName name="XDO_?PERIOD_CR?">#REF!</definedName>
    <definedName name="XDO_?PERIOD_DR?">#REF!</definedName>
    <definedName name="XDO_?PERIOD_NAME_CR?">#REF!</definedName>
    <definedName name="XDO_?PERIOD_NAME_DR?">#REF!</definedName>
    <definedName name="XDO_?PERIOD_NAME_PARAM?">#REF!</definedName>
    <definedName name="XDO_?PERIOD_NAME_Y_CR?">#REF!</definedName>
    <definedName name="XDO_?PERIOD_NAME_Y_DR?">#REF!</definedName>
    <definedName name="XDO_?PERIOD_PTD_CR?">#REF!</definedName>
    <definedName name="XDO_?PERIOD_PTD_DR?">#REF!</definedName>
    <definedName name="XDO_?RESULTING_CURRENCY?">#REF!</definedName>
    <definedName name="XDO_?TOTAL_BEGIN_BALANCE?">#REF!</definedName>
    <definedName name="XDO_?TOTAL_END_BALANCE?">#REF!</definedName>
    <definedName name="XDO_?TOTAL_PERIOD_CR?">#REF!</definedName>
    <definedName name="XDO_?TOTAL_PERIOD_DR?">#REF!</definedName>
    <definedName name="XDO_?TOTAL_PERIOD_PTD_CR?">#REF!</definedName>
    <definedName name="XDO_?TOTAL_PERIOD_PTD_DR?">#REF!</definedName>
    <definedName name="XDO_GROUP_?G_DETAIL?">#REF!</definedName>
    <definedName name="XDO_GROUP_?G_PAGE_BREAK?">#REF!</definedName>
    <definedName name="YearEnd">[1]Sheet2!$I$2</definedName>
  </definedNames>
  <calcPr calcId="145621"/>
</workbook>
</file>

<file path=xl/calcChain.xml><?xml version="1.0" encoding="utf-8"?>
<calcChain xmlns="http://schemas.openxmlformats.org/spreadsheetml/2006/main">
  <c r="C31" i="25" l="1"/>
  <c r="C36" i="25" s="1"/>
  <c r="C30" i="25"/>
  <c r="C29" i="25"/>
  <c r="C7" i="24"/>
  <c r="C83" i="22"/>
  <c r="F330" i="14"/>
  <c r="F225" i="14"/>
  <c r="G225" i="14" s="1"/>
  <c r="T225" i="14"/>
  <c r="T330" i="14"/>
  <c r="F359" i="14"/>
  <c r="F152" i="14"/>
  <c r="D18" i="22" l="1"/>
  <c r="J50" i="22"/>
  <c r="F42" i="22"/>
  <c r="G3" i="21"/>
  <c r="C32" i="25"/>
  <c r="E31" i="25"/>
  <c r="E36" i="25" s="1"/>
  <c r="F36" i="25"/>
  <c r="G32" i="25"/>
  <c r="H32" i="25"/>
  <c r="C12" i="25"/>
  <c r="C11" i="25"/>
  <c r="C5" i="25"/>
  <c r="E13" i="25"/>
  <c r="E4" i="25"/>
  <c r="C4" i="25"/>
  <c r="E115" i="2"/>
  <c r="E101" i="2"/>
  <c r="X75" i="31" l="1"/>
  <c r="X74" i="31"/>
  <c r="X73" i="31"/>
  <c r="AJ98" i="31"/>
  <c r="AJ97" i="31"/>
  <c r="AJ95" i="31"/>
  <c r="AG96" i="31"/>
  <c r="Z77" i="31"/>
  <c r="Z76" i="31"/>
  <c r="AA94" i="31"/>
  <c r="AA93" i="31"/>
  <c r="Y92" i="31"/>
  <c r="Y91" i="31"/>
  <c r="W90" i="31"/>
  <c r="AI83" i="31"/>
  <c r="AH82" i="31"/>
  <c r="AI81" i="31"/>
  <c r="AF80" i="31"/>
  <c r="AH79" i="31"/>
  <c r="AE89" i="31"/>
  <c r="S88" i="31"/>
  <c r="S87" i="31"/>
  <c r="S86" i="31"/>
  <c r="S85" i="31"/>
  <c r="AJ84" i="31"/>
  <c r="AI78" i="31"/>
  <c r="V72" i="31"/>
  <c r="AD71" i="31"/>
  <c r="T70" i="31"/>
  <c r="AI65" i="31"/>
  <c r="R69" i="31"/>
  <c r="R68" i="31"/>
  <c r="R67" i="31"/>
  <c r="R66" i="31"/>
  <c r="R2" i="31" l="1"/>
  <c r="S2" i="31"/>
  <c r="E29" i="23"/>
  <c r="D37" i="24"/>
  <c r="D35" i="24"/>
  <c r="H35" i="24" s="1"/>
  <c r="D34" i="24"/>
  <c r="I35" i="24"/>
  <c r="I36" i="24"/>
  <c r="I34" i="24"/>
  <c r="E39" i="24"/>
  <c r="E30" i="24"/>
  <c r="E28" i="24"/>
  <c r="P245" i="31"/>
  <c r="P2" i="31" s="1"/>
  <c r="E9" i="24" s="1"/>
  <c r="N255" i="31"/>
  <c r="N254" i="31"/>
  <c r="N253" i="31"/>
  <c r="N252" i="31"/>
  <c r="N251" i="31"/>
  <c r="N250" i="31"/>
  <c r="N249" i="31"/>
  <c r="N248" i="31"/>
  <c r="N247" i="31"/>
  <c r="N246" i="31"/>
  <c r="L256" i="31"/>
  <c r="I202" i="31"/>
  <c r="I201" i="31"/>
  <c r="I200" i="31"/>
  <c r="I199" i="31"/>
  <c r="I198" i="31"/>
  <c r="I197" i="31"/>
  <c r="I196" i="31"/>
  <c r="I195" i="31"/>
  <c r="I194" i="31"/>
  <c r="I193" i="31"/>
  <c r="O191" i="31"/>
  <c r="H203" i="31"/>
  <c r="H244" i="31"/>
  <c r="H243" i="31"/>
  <c r="H242" i="31"/>
  <c r="H241" i="31"/>
  <c r="H240" i="31"/>
  <c r="H239" i="31"/>
  <c r="H238" i="31"/>
  <c r="H237" i="31"/>
  <c r="H236" i="31"/>
  <c r="H235" i="31"/>
  <c r="H234" i="31"/>
  <c r="H233" i="31"/>
  <c r="H232" i="31"/>
  <c r="H231" i="31"/>
  <c r="H230" i="31"/>
  <c r="H229" i="31"/>
  <c r="H228" i="31"/>
  <c r="H227" i="31"/>
  <c r="H226" i="31"/>
  <c r="H225" i="31"/>
  <c r="H224" i="31"/>
  <c r="H223" i="31"/>
  <c r="H222" i="31"/>
  <c r="H221" i="31"/>
  <c r="H220" i="31"/>
  <c r="H219" i="31"/>
  <c r="H218" i="31"/>
  <c r="H217" i="31"/>
  <c r="H216" i="31"/>
  <c r="H215" i="31"/>
  <c r="H214" i="31"/>
  <c r="H213" i="31"/>
  <c r="H212" i="31"/>
  <c r="H211" i="31"/>
  <c r="H210" i="31"/>
  <c r="H209" i="31"/>
  <c r="H208" i="31"/>
  <c r="H207" i="31"/>
  <c r="H206" i="31"/>
  <c r="H205" i="31"/>
  <c r="H204" i="31"/>
  <c r="F11" i="24"/>
  <c r="F85" i="23"/>
  <c r="F84" i="23"/>
  <c r="F83" i="23"/>
  <c r="F82" i="23"/>
  <c r="F81" i="23"/>
  <c r="F80" i="23"/>
  <c r="F78" i="23"/>
  <c r="F79" i="23"/>
  <c r="D96" i="23"/>
  <c r="D93" i="23"/>
  <c r="D86" i="23"/>
  <c r="E86" i="23"/>
  <c r="D100" i="23"/>
  <c r="C68" i="23"/>
  <c r="C65" i="23"/>
  <c r="C61" i="23" s="1"/>
  <c r="D61" i="23"/>
  <c r="C40" i="23"/>
  <c r="E249" i="33"/>
  <c r="E248" i="33"/>
  <c r="H33" i="23"/>
  <c r="H32" i="23"/>
  <c r="J32" i="23" s="1"/>
  <c r="H31" i="23"/>
  <c r="H30" i="23"/>
  <c r="H29" i="23"/>
  <c r="J29" i="23" s="1"/>
  <c r="D34" i="23"/>
  <c r="E34" i="23"/>
  <c r="F34" i="23"/>
  <c r="G34" i="23"/>
  <c r="G107" i="23"/>
  <c r="C120" i="23"/>
  <c r="C123" i="23"/>
  <c r="C114" i="23"/>
  <c r="H2" i="31" l="1"/>
  <c r="I2" i="31"/>
  <c r="C57" i="23"/>
  <c r="D70" i="23"/>
  <c r="H34" i="23"/>
  <c r="G18" i="23"/>
  <c r="G17" i="23"/>
  <c r="G16" i="23"/>
  <c r="G14" i="23"/>
  <c r="G13" i="23"/>
  <c r="G12" i="23"/>
  <c r="G11" i="23"/>
  <c r="G10" i="23"/>
  <c r="G9" i="23"/>
  <c r="G7" i="23"/>
  <c r="D160" i="22"/>
  <c r="D159" i="22"/>
  <c r="D161" i="22" s="1"/>
  <c r="D131" i="22"/>
  <c r="D132" i="22"/>
  <c r="N33" i="34"/>
  <c r="Q2" i="32"/>
  <c r="E40" i="32"/>
  <c r="D42" i="32"/>
  <c r="D41" i="32"/>
  <c r="D40" i="32"/>
  <c r="G111" i="22"/>
  <c r="H111" i="22"/>
  <c r="I111" i="22"/>
  <c r="F111" i="22"/>
  <c r="D107" i="22"/>
  <c r="G146" i="22" l="1"/>
  <c r="G147" i="22"/>
  <c r="G148" i="22"/>
  <c r="G149" i="22"/>
  <c r="G150" i="22"/>
  <c r="G145" i="22"/>
  <c r="G91" i="22"/>
  <c r="G92" i="22"/>
  <c r="G93" i="22"/>
  <c r="D95" i="22"/>
  <c r="F90" i="22" s="1"/>
  <c r="G90" i="22" s="1"/>
  <c r="C70" i="22"/>
  <c r="C69" i="22"/>
  <c r="G50" i="22"/>
  <c r="F50" i="22"/>
  <c r="F51" i="22" s="1"/>
  <c r="D51" i="22"/>
  <c r="E51" i="22"/>
  <c r="G51" i="22"/>
  <c r="H51" i="22"/>
  <c r="I51" i="22"/>
  <c r="J51" i="22"/>
  <c r="K51" i="22"/>
  <c r="L51" i="22"/>
  <c r="C51" i="22"/>
  <c r="D44" i="22"/>
  <c r="E44" i="22"/>
  <c r="F44" i="22"/>
  <c r="G44" i="22"/>
  <c r="H44" i="22"/>
  <c r="I44" i="22"/>
  <c r="J44" i="22"/>
  <c r="K44" i="22"/>
  <c r="L44" i="22"/>
  <c r="C44" i="22"/>
  <c r="M42" i="22"/>
  <c r="E19" i="22"/>
  <c r="F19" i="22"/>
  <c r="G19" i="22"/>
  <c r="H19" i="22"/>
  <c r="C19" i="22"/>
  <c r="I18" i="22"/>
  <c r="I10" i="22"/>
  <c r="C12" i="22"/>
  <c r="E12" i="22"/>
  <c r="F12" i="22"/>
  <c r="G12" i="22"/>
  <c r="H12" i="22"/>
  <c r="D17" i="22"/>
  <c r="D19" i="22" s="1"/>
  <c r="R169" i="14"/>
  <c r="F169" i="14"/>
  <c r="R152" i="14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2" i="9"/>
  <c r="O1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6" i="32"/>
  <c r="D12" i="22" l="1"/>
  <c r="E84" i="5"/>
  <c r="E86" i="5" s="1"/>
  <c r="E87" i="5"/>
  <c r="E65" i="5"/>
  <c r="E68" i="5"/>
  <c r="E69" i="5"/>
  <c r="E72" i="5"/>
  <c r="E50" i="5"/>
  <c r="E37" i="5"/>
  <c r="E33" i="5"/>
  <c r="E31" i="5"/>
  <c r="E30" i="5"/>
  <c r="E29" i="5"/>
  <c r="E20" i="5"/>
  <c r="E16" i="5"/>
  <c r="E14" i="5"/>
  <c r="E13" i="5"/>
  <c r="E12" i="5"/>
  <c r="E11" i="5"/>
  <c r="E10" i="5"/>
  <c r="E9" i="5"/>
  <c r="E7" i="5"/>
  <c r="E6" i="5"/>
  <c r="A4" i="35"/>
  <c r="A5" i="35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3" i="35"/>
  <c r="F62" i="31"/>
  <c r="F64" i="31"/>
  <c r="A213" i="31"/>
  <c r="A214" i="31"/>
  <c r="A215" i="31"/>
  <c r="A216" i="31"/>
  <c r="A217" i="31"/>
  <c r="A218" i="31"/>
  <c r="A219" i="31"/>
  <c r="A220" i="31"/>
  <c r="A221" i="31"/>
  <c r="A222" i="31"/>
  <c r="A223" i="31"/>
  <c r="A224" i="31"/>
  <c r="A225" i="31"/>
  <c r="A226" i="31"/>
  <c r="A227" i="31"/>
  <c r="A228" i="31"/>
  <c r="A229" i="31"/>
  <c r="A230" i="31"/>
  <c r="A231" i="31"/>
  <c r="A232" i="31"/>
  <c r="A233" i="31"/>
  <c r="A234" i="31"/>
  <c r="A235" i="31"/>
  <c r="A236" i="31"/>
  <c r="A237" i="31"/>
  <c r="A238" i="31"/>
  <c r="A239" i="31"/>
  <c r="A240" i="31"/>
  <c r="A241" i="31"/>
  <c r="A242" i="31"/>
  <c r="A243" i="31"/>
  <c r="A244" i="31"/>
  <c r="A245" i="31"/>
  <c r="A246" i="31"/>
  <c r="A247" i="31"/>
  <c r="A248" i="31"/>
  <c r="A249" i="31"/>
  <c r="A250" i="31"/>
  <c r="A251" i="31"/>
  <c r="A252" i="31"/>
  <c r="A253" i="31"/>
  <c r="A254" i="31"/>
  <c r="A255" i="31"/>
  <c r="A256" i="31"/>
  <c r="A257" i="31"/>
  <c r="A258" i="31"/>
  <c r="A259" i="31"/>
  <c r="A260" i="31"/>
  <c r="A261" i="31"/>
  <c r="A262" i="31"/>
  <c r="A263" i="31"/>
  <c r="A264" i="31"/>
  <c r="A265" i="31"/>
  <c r="A266" i="31"/>
  <c r="A267" i="31"/>
  <c r="A268" i="31"/>
  <c r="A269" i="31"/>
  <c r="A270" i="31"/>
  <c r="A271" i="31"/>
  <c r="A272" i="31"/>
  <c r="A273" i="31"/>
  <c r="A274" i="31"/>
  <c r="A275" i="31"/>
  <c r="A5" i="31"/>
  <c r="A6" i="31"/>
  <c r="A7" i="31"/>
  <c r="A8" i="31"/>
  <c r="A9" i="31"/>
  <c r="A10" i="31"/>
  <c r="A11" i="31"/>
  <c r="A12" i="31"/>
  <c r="A13" i="31"/>
  <c r="A14" i="31"/>
  <c r="A15" i="31"/>
  <c r="A16" i="31"/>
  <c r="A17" i="31"/>
  <c r="A18" i="31"/>
  <c r="A19" i="31"/>
  <c r="A20" i="31"/>
  <c r="A21" i="31"/>
  <c r="A22" i="31"/>
  <c r="A23" i="31"/>
  <c r="A24" i="31"/>
  <c r="A25" i="31"/>
  <c r="A26" i="31"/>
  <c r="A27" i="31"/>
  <c r="A28" i="31"/>
  <c r="A29" i="31"/>
  <c r="A30" i="31"/>
  <c r="A31" i="31"/>
  <c r="A32" i="31"/>
  <c r="A33" i="31"/>
  <c r="A34" i="31"/>
  <c r="A35" i="31"/>
  <c r="A36" i="31"/>
  <c r="A37" i="31"/>
  <c r="A38" i="31"/>
  <c r="A39" i="31"/>
  <c r="A40" i="31"/>
  <c r="A41" i="31"/>
  <c r="A42" i="31"/>
  <c r="A43" i="31"/>
  <c r="A44" i="31"/>
  <c r="A45" i="31"/>
  <c r="A46" i="31"/>
  <c r="A47" i="31"/>
  <c r="A48" i="31"/>
  <c r="A49" i="31"/>
  <c r="A50" i="31"/>
  <c r="A51" i="31"/>
  <c r="A52" i="31"/>
  <c r="A53" i="31"/>
  <c r="A54" i="31"/>
  <c r="A55" i="31"/>
  <c r="A56" i="31"/>
  <c r="A57" i="31"/>
  <c r="A58" i="31"/>
  <c r="A59" i="31"/>
  <c r="A60" i="31"/>
  <c r="A61" i="31"/>
  <c r="A62" i="31"/>
  <c r="A63" i="31"/>
  <c r="A64" i="31"/>
  <c r="A65" i="31"/>
  <c r="A66" i="31"/>
  <c r="A67" i="31"/>
  <c r="A68" i="31"/>
  <c r="A69" i="31"/>
  <c r="A70" i="31"/>
  <c r="A71" i="31"/>
  <c r="A72" i="31"/>
  <c r="A73" i="31"/>
  <c r="A74" i="31"/>
  <c r="A75" i="31"/>
  <c r="A76" i="31"/>
  <c r="A77" i="31"/>
  <c r="A78" i="31"/>
  <c r="A79" i="31"/>
  <c r="A80" i="31"/>
  <c r="A81" i="31"/>
  <c r="A82" i="3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107" i="31"/>
  <c r="A108" i="31"/>
  <c r="A109" i="31"/>
  <c r="A110" i="31"/>
  <c r="A111" i="31"/>
  <c r="A112" i="31"/>
  <c r="A113" i="31"/>
  <c r="A114" i="31"/>
  <c r="A115" i="31"/>
  <c r="A116" i="31"/>
  <c r="A117" i="31"/>
  <c r="A118" i="31"/>
  <c r="A119" i="31"/>
  <c r="A120" i="31"/>
  <c r="A121" i="31"/>
  <c r="A122" i="31"/>
  <c r="A123" i="31"/>
  <c r="A124" i="31"/>
  <c r="A125" i="31"/>
  <c r="A126" i="31"/>
  <c r="A127" i="31"/>
  <c r="A128" i="31"/>
  <c r="A129" i="31"/>
  <c r="A130" i="31"/>
  <c r="A131" i="31"/>
  <c r="A132" i="31"/>
  <c r="A133" i="31"/>
  <c r="A134" i="31"/>
  <c r="A135" i="31"/>
  <c r="A136" i="31"/>
  <c r="A137" i="31"/>
  <c r="A138" i="31"/>
  <c r="A139" i="31"/>
  <c r="A140" i="31"/>
  <c r="A141" i="31"/>
  <c r="A142" i="31"/>
  <c r="A143" i="31"/>
  <c r="A144" i="31"/>
  <c r="A145" i="31"/>
  <c r="A146" i="31"/>
  <c r="A147" i="31"/>
  <c r="A148" i="31"/>
  <c r="A149" i="31"/>
  <c r="A150" i="31"/>
  <c r="A151" i="31"/>
  <c r="A152" i="31"/>
  <c r="A153" i="31"/>
  <c r="A154" i="31"/>
  <c r="A155" i="31"/>
  <c r="A156" i="31"/>
  <c r="A157" i="31"/>
  <c r="A158" i="31"/>
  <c r="A159" i="31"/>
  <c r="A160" i="31"/>
  <c r="A161" i="31"/>
  <c r="A162" i="31"/>
  <c r="A163" i="31"/>
  <c r="A164" i="31"/>
  <c r="A165" i="31"/>
  <c r="A166" i="31"/>
  <c r="A167" i="31"/>
  <c r="A168" i="31"/>
  <c r="A169" i="31"/>
  <c r="A170" i="31"/>
  <c r="A171" i="31"/>
  <c r="A172" i="31"/>
  <c r="A173" i="31"/>
  <c r="A174" i="31"/>
  <c r="A175" i="31"/>
  <c r="A176" i="31"/>
  <c r="A177" i="31"/>
  <c r="A178" i="31"/>
  <c r="A179" i="31"/>
  <c r="A180" i="31"/>
  <c r="A181" i="31"/>
  <c r="A182" i="31"/>
  <c r="A183" i="31"/>
  <c r="A184" i="31"/>
  <c r="A185" i="31"/>
  <c r="A186" i="31"/>
  <c r="A187" i="31"/>
  <c r="A188" i="31"/>
  <c r="A189" i="31"/>
  <c r="A190" i="31"/>
  <c r="A191" i="31"/>
  <c r="A192" i="31"/>
  <c r="A193" i="31"/>
  <c r="A194" i="31"/>
  <c r="A195" i="31"/>
  <c r="A196" i="31"/>
  <c r="A197" i="31"/>
  <c r="A198" i="31"/>
  <c r="A199" i="31"/>
  <c r="A200" i="31"/>
  <c r="A201" i="31"/>
  <c r="A202" i="31"/>
  <c r="A203" i="31"/>
  <c r="A204" i="31"/>
  <c r="A205" i="31"/>
  <c r="A206" i="31"/>
  <c r="A207" i="31"/>
  <c r="A208" i="31"/>
  <c r="A209" i="31"/>
  <c r="A210" i="31"/>
  <c r="A211" i="31"/>
  <c r="A212" i="31"/>
  <c r="A4" i="31"/>
  <c r="J24" i="35"/>
  <c r="N2" i="32" l="1"/>
  <c r="M21" i="32"/>
  <c r="M20" i="32"/>
  <c r="M19" i="32"/>
  <c r="M18" i="32"/>
  <c r="M17" i="32"/>
  <c r="M16" i="32"/>
  <c r="M15" i="32"/>
  <c r="M14" i="32"/>
  <c r="M13" i="32"/>
  <c r="M12" i="32"/>
  <c r="M11" i="32"/>
  <c r="M10" i="32"/>
  <c r="M9" i="32"/>
  <c r="M8" i="32"/>
  <c r="M7" i="32"/>
  <c r="M6" i="32"/>
  <c r="N19" i="32"/>
  <c r="N34" i="32"/>
  <c r="N33" i="32"/>
  <c r="M22" i="32"/>
  <c r="M23" i="32"/>
  <c r="M24" i="32"/>
  <c r="M25" i="32"/>
  <c r="M26" i="32"/>
  <c r="M27" i="32"/>
  <c r="M28" i="32"/>
  <c r="M29" i="32"/>
  <c r="M30" i="32"/>
  <c r="M31" i="32"/>
  <c r="M32" i="32"/>
  <c r="M33" i="32"/>
  <c r="M34" i="32"/>
  <c r="L354" i="34"/>
  <c r="J354" i="34"/>
  <c r="A354" i="34"/>
  <c r="J353" i="34"/>
  <c r="L353" i="34" s="1"/>
  <c r="A353" i="34"/>
  <c r="J352" i="34"/>
  <c r="L352" i="34" s="1"/>
  <c r="A352" i="34"/>
  <c r="J351" i="34"/>
  <c r="L351" i="34" s="1"/>
  <c r="A351" i="34"/>
  <c r="L350" i="34"/>
  <c r="J350" i="34"/>
  <c r="A350" i="34"/>
  <c r="J349" i="34"/>
  <c r="L349" i="34" s="1"/>
  <c r="A349" i="34"/>
  <c r="J348" i="34"/>
  <c r="L348" i="34" s="1"/>
  <c r="A348" i="34"/>
  <c r="J347" i="34"/>
  <c r="L347" i="34" s="1"/>
  <c r="A347" i="34"/>
  <c r="L346" i="34"/>
  <c r="J346" i="34"/>
  <c r="A346" i="34"/>
  <c r="J345" i="34"/>
  <c r="L345" i="34" s="1"/>
  <c r="A345" i="34"/>
  <c r="L344" i="34"/>
  <c r="J344" i="34"/>
  <c r="A344" i="34"/>
  <c r="J343" i="34"/>
  <c r="L343" i="34" s="1"/>
  <c r="A343" i="34"/>
  <c r="L342" i="34"/>
  <c r="J342" i="34"/>
  <c r="A342" i="34"/>
  <c r="L341" i="34"/>
  <c r="J341" i="34"/>
  <c r="A341" i="34"/>
  <c r="J340" i="34"/>
  <c r="L340" i="34" s="1"/>
  <c r="A340" i="34"/>
  <c r="J339" i="34"/>
  <c r="L339" i="34" s="1"/>
  <c r="A339" i="34"/>
  <c r="L338" i="34"/>
  <c r="J338" i="34"/>
  <c r="A338" i="34"/>
  <c r="J337" i="34"/>
  <c r="L337" i="34" s="1"/>
  <c r="A337" i="34"/>
  <c r="J336" i="34"/>
  <c r="L336" i="34" s="1"/>
  <c r="A336" i="34"/>
  <c r="J335" i="34"/>
  <c r="L335" i="34" s="1"/>
  <c r="A335" i="34"/>
  <c r="L334" i="34"/>
  <c r="J334" i="34"/>
  <c r="A334" i="34"/>
  <c r="J333" i="34"/>
  <c r="L333" i="34" s="1"/>
  <c r="A333" i="34"/>
  <c r="J332" i="34"/>
  <c r="L332" i="34" s="1"/>
  <c r="A332" i="34"/>
  <c r="J331" i="34"/>
  <c r="L331" i="34" s="1"/>
  <c r="A331" i="34"/>
  <c r="L330" i="34"/>
  <c r="J330" i="34"/>
  <c r="A330" i="34"/>
  <c r="J329" i="34"/>
  <c r="L329" i="34" s="1"/>
  <c r="A329" i="34"/>
  <c r="L328" i="34"/>
  <c r="J328" i="34"/>
  <c r="A328" i="34"/>
  <c r="J327" i="34"/>
  <c r="L327" i="34" s="1"/>
  <c r="A327" i="34"/>
  <c r="L326" i="34"/>
  <c r="J326" i="34"/>
  <c r="A326" i="34"/>
  <c r="L325" i="34"/>
  <c r="J325" i="34"/>
  <c r="A325" i="34"/>
  <c r="J324" i="34"/>
  <c r="L324" i="34" s="1"/>
  <c r="A324" i="34"/>
  <c r="J323" i="34"/>
  <c r="L323" i="34" s="1"/>
  <c r="A323" i="34"/>
  <c r="L322" i="34"/>
  <c r="J322" i="34"/>
  <c r="A322" i="34"/>
  <c r="J321" i="34"/>
  <c r="L321" i="34" s="1"/>
  <c r="A321" i="34"/>
  <c r="J320" i="34"/>
  <c r="L320" i="34" s="1"/>
  <c r="A320" i="34"/>
  <c r="J319" i="34"/>
  <c r="L319" i="34" s="1"/>
  <c r="A319" i="34"/>
  <c r="L318" i="34"/>
  <c r="J318" i="34"/>
  <c r="A318" i="34"/>
  <c r="J317" i="34"/>
  <c r="L317" i="34" s="1"/>
  <c r="A317" i="34"/>
  <c r="J316" i="34"/>
  <c r="L316" i="34" s="1"/>
  <c r="A316" i="34"/>
  <c r="J315" i="34"/>
  <c r="L315" i="34" s="1"/>
  <c r="A315" i="34"/>
  <c r="L314" i="34"/>
  <c r="J314" i="34"/>
  <c r="A314" i="34"/>
  <c r="J313" i="34"/>
  <c r="L313" i="34" s="1"/>
  <c r="A313" i="34"/>
  <c r="L312" i="34"/>
  <c r="J312" i="34"/>
  <c r="A312" i="34"/>
  <c r="J311" i="34"/>
  <c r="L311" i="34" s="1"/>
  <c r="A311" i="34"/>
  <c r="L310" i="34"/>
  <c r="J310" i="34"/>
  <c r="A310" i="34"/>
  <c r="L309" i="34"/>
  <c r="J309" i="34"/>
  <c r="A309" i="34"/>
  <c r="J308" i="34"/>
  <c r="L308" i="34" s="1"/>
  <c r="A308" i="34"/>
  <c r="J307" i="34"/>
  <c r="L307" i="34" s="1"/>
  <c r="A307" i="34"/>
  <c r="L306" i="34"/>
  <c r="J306" i="34"/>
  <c r="A306" i="34"/>
  <c r="J305" i="34"/>
  <c r="L305" i="34" s="1"/>
  <c r="A305" i="34"/>
  <c r="J304" i="34"/>
  <c r="L304" i="34" s="1"/>
  <c r="A304" i="34"/>
  <c r="J303" i="34"/>
  <c r="L303" i="34" s="1"/>
  <c r="A303" i="34"/>
  <c r="L302" i="34"/>
  <c r="J302" i="34"/>
  <c r="A302" i="34"/>
  <c r="J301" i="34"/>
  <c r="L301" i="34" s="1"/>
  <c r="A301" i="34"/>
  <c r="J300" i="34"/>
  <c r="L300" i="34" s="1"/>
  <c r="A300" i="34"/>
  <c r="J299" i="34"/>
  <c r="L299" i="34" s="1"/>
  <c r="A299" i="34"/>
  <c r="L298" i="34"/>
  <c r="J298" i="34"/>
  <c r="A298" i="34"/>
  <c r="J297" i="34"/>
  <c r="L297" i="34" s="1"/>
  <c r="A297" i="34"/>
  <c r="L296" i="34"/>
  <c r="J296" i="34"/>
  <c r="A296" i="34"/>
  <c r="J295" i="34"/>
  <c r="L295" i="34" s="1"/>
  <c r="A295" i="34"/>
  <c r="L294" i="34"/>
  <c r="J294" i="34"/>
  <c r="A294" i="34"/>
  <c r="L293" i="34"/>
  <c r="J293" i="34"/>
  <c r="A293" i="34"/>
  <c r="J292" i="34"/>
  <c r="L292" i="34" s="1"/>
  <c r="A292" i="34"/>
  <c r="J291" i="34"/>
  <c r="L291" i="34" s="1"/>
  <c r="A291" i="34"/>
  <c r="L290" i="34"/>
  <c r="J290" i="34"/>
  <c r="A290" i="34"/>
  <c r="J289" i="34"/>
  <c r="L289" i="34" s="1"/>
  <c r="A289" i="34"/>
  <c r="J288" i="34"/>
  <c r="L288" i="34" s="1"/>
  <c r="A288" i="34"/>
  <c r="J287" i="34"/>
  <c r="L287" i="34" s="1"/>
  <c r="A287" i="34"/>
  <c r="L286" i="34"/>
  <c r="J286" i="34"/>
  <c r="A286" i="34"/>
  <c r="J285" i="34"/>
  <c r="L285" i="34" s="1"/>
  <c r="A285" i="34"/>
  <c r="J284" i="34"/>
  <c r="L284" i="34" s="1"/>
  <c r="A284" i="34"/>
  <c r="J283" i="34"/>
  <c r="L283" i="34" s="1"/>
  <c r="A283" i="34"/>
  <c r="L282" i="34"/>
  <c r="J282" i="34"/>
  <c r="A282" i="34"/>
  <c r="J281" i="34"/>
  <c r="L281" i="34" s="1"/>
  <c r="A281" i="34"/>
  <c r="L280" i="34"/>
  <c r="J280" i="34"/>
  <c r="A280" i="34"/>
  <c r="J279" i="34"/>
  <c r="L279" i="34" s="1"/>
  <c r="A279" i="34"/>
  <c r="L278" i="34"/>
  <c r="J278" i="34"/>
  <c r="A278" i="34"/>
  <c r="L277" i="34"/>
  <c r="J277" i="34"/>
  <c r="A277" i="34"/>
  <c r="J276" i="34"/>
  <c r="L276" i="34" s="1"/>
  <c r="A276" i="34"/>
  <c r="J275" i="34"/>
  <c r="L275" i="34" s="1"/>
  <c r="A275" i="34"/>
  <c r="L274" i="34"/>
  <c r="J274" i="34"/>
  <c r="A274" i="34"/>
  <c r="J273" i="34"/>
  <c r="L273" i="34" s="1"/>
  <c r="A273" i="34"/>
  <c r="J272" i="34"/>
  <c r="L272" i="34" s="1"/>
  <c r="A272" i="34"/>
  <c r="J271" i="34"/>
  <c r="L271" i="34" s="1"/>
  <c r="A271" i="34"/>
  <c r="L270" i="34"/>
  <c r="J270" i="34"/>
  <c r="A270" i="34"/>
  <c r="J269" i="34"/>
  <c r="L269" i="34" s="1"/>
  <c r="A269" i="34"/>
  <c r="J268" i="34"/>
  <c r="L268" i="34" s="1"/>
  <c r="A268" i="34"/>
  <c r="J267" i="34"/>
  <c r="L267" i="34" s="1"/>
  <c r="A267" i="34"/>
  <c r="L266" i="34"/>
  <c r="J266" i="34"/>
  <c r="A266" i="34"/>
  <c r="J265" i="34"/>
  <c r="L265" i="34" s="1"/>
  <c r="A265" i="34"/>
  <c r="L264" i="34"/>
  <c r="J264" i="34"/>
  <c r="A264" i="34"/>
  <c r="J263" i="34"/>
  <c r="L263" i="34" s="1"/>
  <c r="A263" i="34"/>
  <c r="L262" i="34"/>
  <c r="J262" i="34"/>
  <c r="A262" i="34"/>
  <c r="L261" i="34"/>
  <c r="J261" i="34"/>
  <c r="A261" i="34"/>
  <c r="J260" i="34"/>
  <c r="L260" i="34" s="1"/>
  <c r="A260" i="34"/>
  <c r="J259" i="34"/>
  <c r="L259" i="34" s="1"/>
  <c r="A259" i="34"/>
  <c r="L258" i="34"/>
  <c r="J258" i="34"/>
  <c r="A258" i="34"/>
  <c r="J257" i="34"/>
  <c r="L257" i="34" s="1"/>
  <c r="A257" i="34"/>
  <c r="J256" i="34"/>
  <c r="L256" i="34" s="1"/>
  <c r="A256" i="34"/>
  <c r="J255" i="34"/>
  <c r="L255" i="34" s="1"/>
  <c r="A255" i="34"/>
  <c r="L254" i="34"/>
  <c r="J254" i="34"/>
  <c r="A254" i="34"/>
  <c r="J253" i="34"/>
  <c r="L253" i="34" s="1"/>
  <c r="A253" i="34"/>
  <c r="J252" i="34"/>
  <c r="L252" i="34" s="1"/>
  <c r="A252" i="34"/>
  <c r="J251" i="34"/>
  <c r="L251" i="34" s="1"/>
  <c r="A251" i="34"/>
  <c r="L250" i="34"/>
  <c r="J250" i="34"/>
  <c r="A250" i="34"/>
  <c r="J249" i="34"/>
  <c r="L249" i="34" s="1"/>
  <c r="A249" i="34"/>
  <c r="L248" i="34"/>
  <c r="J248" i="34"/>
  <c r="A248" i="34"/>
  <c r="J247" i="34"/>
  <c r="L247" i="34" s="1"/>
  <c r="A247" i="34"/>
  <c r="L246" i="34"/>
  <c r="J246" i="34"/>
  <c r="A246" i="34"/>
  <c r="L245" i="34"/>
  <c r="J245" i="34"/>
  <c r="A245" i="34"/>
  <c r="J244" i="34"/>
  <c r="L244" i="34" s="1"/>
  <c r="A244" i="34"/>
  <c r="J243" i="34"/>
  <c r="L243" i="34" s="1"/>
  <c r="A243" i="34"/>
  <c r="L242" i="34"/>
  <c r="J242" i="34"/>
  <c r="A242" i="34"/>
  <c r="J241" i="34"/>
  <c r="L241" i="34" s="1"/>
  <c r="A241" i="34"/>
  <c r="J240" i="34"/>
  <c r="L240" i="34" s="1"/>
  <c r="A240" i="34"/>
  <c r="J239" i="34"/>
  <c r="L239" i="34" s="1"/>
  <c r="A239" i="34"/>
  <c r="L238" i="34"/>
  <c r="J238" i="34"/>
  <c r="A238" i="34"/>
  <c r="J237" i="34"/>
  <c r="L237" i="34" s="1"/>
  <c r="A237" i="34"/>
  <c r="J236" i="34"/>
  <c r="L236" i="34" s="1"/>
  <c r="A236" i="34"/>
  <c r="J235" i="34"/>
  <c r="L235" i="34" s="1"/>
  <c r="A235" i="34"/>
  <c r="L234" i="34"/>
  <c r="J234" i="34"/>
  <c r="A234" i="34"/>
  <c r="J233" i="34"/>
  <c r="L233" i="34" s="1"/>
  <c r="A233" i="34"/>
  <c r="L232" i="34"/>
  <c r="J232" i="34"/>
  <c r="A232" i="34"/>
  <c r="J231" i="34"/>
  <c r="L231" i="34" s="1"/>
  <c r="A231" i="34"/>
  <c r="L230" i="34"/>
  <c r="J230" i="34"/>
  <c r="A230" i="34"/>
  <c r="L229" i="34"/>
  <c r="J229" i="34"/>
  <c r="A229" i="34"/>
  <c r="J228" i="34"/>
  <c r="L228" i="34" s="1"/>
  <c r="A228" i="34"/>
  <c r="J227" i="34"/>
  <c r="L227" i="34" s="1"/>
  <c r="A227" i="34"/>
  <c r="L226" i="34"/>
  <c r="J226" i="34"/>
  <c r="A226" i="34"/>
  <c r="J225" i="34"/>
  <c r="L225" i="34" s="1"/>
  <c r="A225" i="34"/>
  <c r="J224" i="34"/>
  <c r="L224" i="34" s="1"/>
  <c r="A224" i="34"/>
  <c r="J223" i="34"/>
  <c r="L223" i="34" s="1"/>
  <c r="A223" i="34"/>
  <c r="L222" i="34"/>
  <c r="J222" i="34"/>
  <c r="A222" i="34"/>
  <c r="J221" i="34"/>
  <c r="L221" i="34" s="1"/>
  <c r="A221" i="34"/>
  <c r="J220" i="34"/>
  <c r="L220" i="34" s="1"/>
  <c r="A220" i="34"/>
  <c r="J219" i="34"/>
  <c r="L219" i="34" s="1"/>
  <c r="A219" i="34"/>
  <c r="L218" i="34"/>
  <c r="J218" i="34"/>
  <c r="A218" i="34"/>
  <c r="J217" i="34"/>
  <c r="L217" i="34" s="1"/>
  <c r="A217" i="34"/>
  <c r="L216" i="34"/>
  <c r="J216" i="34"/>
  <c r="A216" i="34"/>
  <c r="J215" i="34"/>
  <c r="L215" i="34" s="1"/>
  <c r="A215" i="34"/>
  <c r="L214" i="34"/>
  <c r="J214" i="34"/>
  <c r="A214" i="34"/>
  <c r="L213" i="34"/>
  <c r="J213" i="34"/>
  <c r="A213" i="34"/>
  <c r="J212" i="34"/>
  <c r="L212" i="34" s="1"/>
  <c r="A212" i="34"/>
  <c r="J211" i="34"/>
  <c r="L211" i="34" s="1"/>
  <c r="A211" i="34"/>
  <c r="L210" i="34"/>
  <c r="J210" i="34"/>
  <c r="A210" i="34"/>
  <c r="J209" i="34"/>
  <c r="L209" i="34" s="1"/>
  <c r="A209" i="34"/>
  <c r="J208" i="34"/>
  <c r="L208" i="34" s="1"/>
  <c r="A208" i="34"/>
  <c r="J207" i="34"/>
  <c r="L207" i="34" s="1"/>
  <c r="A207" i="34"/>
  <c r="L206" i="34"/>
  <c r="J206" i="34"/>
  <c r="A206" i="34"/>
  <c r="J205" i="34"/>
  <c r="L205" i="34" s="1"/>
  <c r="A205" i="34"/>
  <c r="J204" i="34"/>
  <c r="L204" i="34" s="1"/>
  <c r="A204" i="34"/>
  <c r="J203" i="34"/>
  <c r="L203" i="34" s="1"/>
  <c r="A203" i="34"/>
  <c r="L202" i="34"/>
  <c r="J202" i="34"/>
  <c r="A202" i="34"/>
  <c r="J201" i="34"/>
  <c r="L201" i="34" s="1"/>
  <c r="A201" i="34"/>
  <c r="L200" i="34"/>
  <c r="J200" i="34"/>
  <c r="A200" i="34"/>
  <c r="J199" i="34"/>
  <c r="L199" i="34" s="1"/>
  <c r="A199" i="34"/>
  <c r="L198" i="34"/>
  <c r="J198" i="34"/>
  <c r="A198" i="34"/>
  <c r="L197" i="34"/>
  <c r="J197" i="34"/>
  <c r="A197" i="34"/>
  <c r="J196" i="34"/>
  <c r="L196" i="34" s="1"/>
  <c r="A196" i="34"/>
  <c r="J195" i="34"/>
  <c r="L195" i="34" s="1"/>
  <c r="A195" i="34"/>
  <c r="L194" i="34"/>
  <c r="J194" i="34"/>
  <c r="A194" i="34"/>
  <c r="J193" i="34"/>
  <c r="L193" i="34" s="1"/>
  <c r="A193" i="34"/>
  <c r="J192" i="34"/>
  <c r="L192" i="34" s="1"/>
  <c r="A192" i="34"/>
  <c r="J191" i="34"/>
  <c r="L191" i="34" s="1"/>
  <c r="A191" i="34"/>
  <c r="L190" i="34"/>
  <c r="J190" i="34"/>
  <c r="A190" i="34"/>
  <c r="J189" i="34"/>
  <c r="L189" i="34" s="1"/>
  <c r="A189" i="34"/>
  <c r="J188" i="34"/>
  <c r="L188" i="34" s="1"/>
  <c r="A188" i="34"/>
  <c r="J187" i="34"/>
  <c r="L187" i="34" s="1"/>
  <c r="A187" i="34"/>
  <c r="L186" i="34"/>
  <c r="J186" i="34"/>
  <c r="A186" i="34"/>
  <c r="J185" i="34"/>
  <c r="L185" i="34" s="1"/>
  <c r="A185" i="34"/>
  <c r="L184" i="34"/>
  <c r="J184" i="34"/>
  <c r="A184" i="34"/>
  <c r="J183" i="34"/>
  <c r="L183" i="34" s="1"/>
  <c r="A183" i="34"/>
  <c r="L182" i="34"/>
  <c r="J182" i="34"/>
  <c r="A182" i="34"/>
  <c r="L181" i="34"/>
  <c r="J181" i="34"/>
  <c r="A181" i="34"/>
  <c r="J180" i="34"/>
  <c r="L180" i="34" s="1"/>
  <c r="A180" i="34"/>
  <c r="J179" i="34"/>
  <c r="L179" i="34" s="1"/>
  <c r="A179" i="34"/>
  <c r="L178" i="34"/>
  <c r="J178" i="34"/>
  <c r="A178" i="34"/>
  <c r="J177" i="34"/>
  <c r="L177" i="34" s="1"/>
  <c r="A177" i="34"/>
  <c r="J176" i="34"/>
  <c r="L176" i="34" s="1"/>
  <c r="A176" i="34"/>
  <c r="J175" i="34"/>
  <c r="L175" i="34" s="1"/>
  <c r="A175" i="34"/>
  <c r="L174" i="34"/>
  <c r="J174" i="34"/>
  <c r="A174" i="34"/>
  <c r="J173" i="34"/>
  <c r="L173" i="34" s="1"/>
  <c r="A173" i="34"/>
  <c r="J172" i="34"/>
  <c r="L172" i="34" s="1"/>
  <c r="A172" i="34"/>
  <c r="J171" i="34"/>
  <c r="L171" i="34" s="1"/>
  <c r="A171" i="34"/>
  <c r="L170" i="34"/>
  <c r="J170" i="34"/>
  <c r="A170" i="34"/>
  <c r="J169" i="34"/>
  <c r="L169" i="34" s="1"/>
  <c r="A169" i="34"/>
  <c r="L168" i="34"/>
  <c r="J168" i="34"/>
  <c r="A168" i="34"/>
  <c r="J167" i="34"/>
  <c r="L167" i="34" s="1"/>
  <c r="A167" i="34"/>
  <c r="L166" i="34"/>
  <c r="J166" i="34"/>
  <c r="A166" i="34"/>
  <c r="L165" i="34"/>
  <c r="J165" i="34"/>
  <c r="A165" i="34"/>
  <c r="J164" i="34"/>
  <c r="L164" i="34" s="1"/>
  <c r="A164" i="34"/>
  <c r="J163" i="34"/>
  <c r="L163" i="34" s="1"/>
  <c r="A163" i="34"/>
  <c r="L162" i="34"/>
  <c r="J162" i="34"/>
  <c r="A162" i="34"/>
  <c r="J161" i="34"/>
  <c r="L161" i="34" s="1"/>
  <c r="A161" i="34"/>
  <c r="J160" i="34"/>
  <c r="L160" i="34" s="1"/>
  <c r="A160" i="34"/>
  <c r="J159" i="34"/>
  <c r="L159" i="34" s="1"/>
  <c r="A159" i="34"/>
  <c r="L158" i="34"/>
  <c r="J158" i="34"/>
  <c r="A158" i="34"/>
  <c r="J157" i="34"/>
  <c r="L157" i="34" s="1"/>
  <c r="A157" i="34"/>
  <c r="J156" i="34"/>
  <c r="L156" i="34" s="1"/>
  <c r="A156" i="34"/>
  <c r="L155" i="34"/>
  <c r="J155" i="34"/>
  <c r="A155" i="34"/>
  <c r="J154" i="34"/>
  <c r="L154" i="34" s="1"/>
  <c r="A154" i="34"/>
  <c r="L153" i="34"/>
  <c r="J153" i="34"/>
  <c r="A153" i="34"/>
  <c r="L152" i="34"/>
  <c r="J152" i="34"/>
  <c r="A152" i="34"/>
  <c r="J151" i="34"/>
  <c r="L151" i="34" s="1"/>
  <c r="A151" i="34"/>
  <c r="J150" i="34"/>
  <c r="L150" i="34" s="1"/>
  <c r="A150" i="34"/>
  <c r="L149" i="34"/>
  <c r="J149" i="34"/>
  <c r="A149" i="34"/>
  <c r="J148" i="34"/>
  <c r="L148" i="34" s="1"/>
  <c r="A148" i="34"/>
  <c r="J147" i="34"/>
  <c r="L147" i="34" s="1"/>
  <c r="A147" i="34"/>
  <c r="J146" i="34"/>
  <c r="L146" i="34" s="1"/>
  <c r="A146" i="34"/>
  <c r="L145" i="34"/>
  <c r="J145" i="34"/>
  <c r="A145" i="34"/>
  <c r="J144" i="34"/>
  <c r="L144" i="34" s="1"/>
  <c r="A144" i="34"/>
  <c r="J143" i="34"/>
  <c r="L143" i="34" s="1"/>
  <c r="A143" i="34"/>
  <c r="J142" i="34"/>
  <c r="L142" i="34" s="1"/>
  <c r="A142" i="34"/>
  <c r="L141" i="34"/>
  <c r="J141" i="34"/>
  <c r="A141" i="34"/>
  <c r="J140" i="34"/>
  <c r="L140" i="34" s="1"/>
  <c r="A140" i="34"/>
  <c r="L139" i="34"/>
  <c r="J139" i="34"/>
  <c r="A139" i="34"/>
  <c r="J138" i="34"/>
  <c r="L138" i="34" s="1"/>
  <c r="A138" i="34"/>
  <c r="L137" i="34"/>
  <c r="J137" i="34"/>
  <c r="A137" i="34"/>
  <c r="L136" i="34"/>
  <c r="J136" i="34"/>
  <c r="A136" i="34"/>
  <c r="J135" i="34"/>
  <c r="L135" i="34" s="1"/>
  <c r="A135" i="34"/>
  <c r="J134" i="34"/>
  <c r="L134" i="34" s="1"/>
  <c r="A134" i="34"/>
  <c r="L133" i="34"/>
  <c r="J133" i="34"/>
  <c r="A133" i="34"/>
  <c r="J132" i="34"/>
  <c r="L132" i="34" s="1"/>
  <c r="A132" i="34"/>
  <c r="J131" i="34"/>
  <c r="L131" i="34" s="1"/>
  <c r="A131" i="34"/>
  <c r="J130" i="34"/>
  <c r="L130" i="34" s="1"/>
  <c r="A130" i="34"/>
  <c r="L129" i="34"/>
  <c r="J129" i="34"/>
  <c r="A129" i="34"/>
  <c r="J128" i="34"/>
  <c r="L128" i="34" s="1"/>
  <c r="A128" i="34"/>
  <c r="J127" i="34"/>
  <c r="L127" i="34" s="1"/>
  <c r="A127" i="34"/>
  <c r="J126" i="34"/>
  <c r="L126" i="34" s="1"/>
  <c r="A126" i="34"/>
  <c r="L125" i="34"/>
  <c r="J125" i="34"/>
  <c r="A125" i="34"/>
  <c r="J124" i="34"/>
  <c r="L124" i="34" s="1"/>
  <c r="A124" i="34"/>
  <c r="L123" i="34"/>
  <c r="J123" i="34"/>
  <c r="A123" i="34"/>
  <c r="J122" i="34"/>
  <c r="L122" i="34" s="1"/>
  <c r="A122" i="34"/>
  <c r="L121" i="34"/>
  <c r="J121" i="34"/>
  <c r="A121" i="34"/>
  <c r="L120" i="34"/>
  <c r="J120" i="34"/>
  <c r="A120" i="34"/>
  <c r="J119" i="34"/>
  <c r="L119" i="34" s="1"/>
  <c r="A119" i="34"/>
  <c r="J118" i="34"/>
  <c r="L118" i="34" s="1"/>
  <c r="A118" i="34"/>
  <c r="L117" i="34"/>
  <c r="J117" i="34"/>
  <c r="A117" i="34"/>
  <c r="J116" i="34"/>
  <c r="L116" i="34" s="1"/>
  <c r="A116" i="34"/>
  <c r="J115" i="34"/>
  <c r="L115" i="34" s="1"/>
  <c r="A115" i="34"/>
  <c r="J114" i="34"/>
  <c r="L114" i="34" s="1"/>
  <c r="A114" i="34"/>
  <c r="L113" i="34"/>
  <c r="J113" i="34"/>
  <c r="A113" i="34"/>
  <c r="J112" i="34"/>
  <c r="L112" i="34" s="1"/>
  <c r="A112" i="34"/>
  <c r="J111" i="34"/>
  <c r="L111" i="34" s="1"/>
  <c r="A111" i="34"/>
  <c r="J110" i="34"/>
  <c r="L110" i="34" s="1"/>
  <c r="A110" i="34"/>
  <c r="L109" i="34"/>
  <c r="J109" i="34"/>
  <c r="A109" i="34"/>
  <c r="J108" i="34"/>
  <c r="L108" i="34" s="1"/>
  <c r="A108" i="34"/>
  <c r="L107" i="34"/>
  <c r="J107" i="34"/>
  <c r="A107" i="34"/>
  <c r="J106" i="34"/>
  <c r="L106" i="34" s="1"/>
  <c r="A106" i="34"/>
  <c r="L105" i="34"/>
  <c r="J105" i="34"/>
  <c r="A105" i="34"/>
  <c r="L104" i="34"/>
  <c r="J104" i="34"/>
  <c r="A104" i="34"/>
  <c r="J103" i="34"/>
  <c r="L103" i="34" s="1"/>
  <c r="A103" i="34"/>
  <c r="J102" i="34"/>
  <c r="L102" i="34" s="1"/>
  <c r="A102" i="34"/>
  <c r="L101" i="34"/>
  <c r="J101" i="34"/>
  <c r="A101" i="34"/>
  <c r="J100" i="34"/>
  <c r="L100" i="34" s="1"/>
  <c r="A100" i="34"/>
  <c r="J99" i="34"/>
  <c r="L99" i="34" s="1"/>
  <c r="A99" i="34"/>
  <c r="J98" i="34"/>
  <c r="L98" i="34" s="1"/>
  <c r="A98" i="34"/>
  <c r="L97" i="34"/>
  <c r="J97" i="34"/>
  <c r="A97" i="34"/>
  <c r="J96" i="34"/>
  <c r="L96" i="34" s="1"/>
  <c r="A96" i="34"/>
  <c r="J95" i="34"/>
  <c r="L95" i="34" s="1"/>
  <c r="A95" i="34"/>
  <c r="J94" i="34"/>
  <c r="L94" i="34" s="1"/>
  <c r="A94" i="34"/>
  <c r="L93" i="34"/>
  <c r="J93" i="34"/>
  <c r="A93" i="34"/>
  <c r="J92" i="34"/>
  <c r="L92" i="34" s="1"/>
  <c r="A92" i="34"/>
  <c r="L91" i="34"/>
  <c r="J91" i="34"/>
  <c r="A91" i="34"/>
  <c r="J90" i="34"/>
  <c r="L90" i="34" s="1"/>
  <c r="A90" i="34"/>
  <c r="L89" i="34"/>
  <c r="J89" i="34"/>
  <c r="A89" i="34"/>
  <c r="L88" i="34"/>
  <c r="J88" i="34"/>
  <c r="A88" i="34"/>
  <c r="J87" i="34"/>
  <c r="L87" i="34" s="1"/>
  <c r="A87" i="34"/>
  <c r="J86" i="34"/>
  <c r="L86" i="34" s="1"/>
  <c r="A86" i="34"/>
  <c r="L85" i="34"/>
  <c r="J85" i="34"/>
  <c r="A85" i="34"/>
  <c r="J84" i="34"/>
  <c r="L84" i="34" s="1"/>
  <c r="A84" i="34"/>
  <c r="J83" i="34"/>
  <c r="L83" i="34" s="1"/>
  <c r="A83" i="34"/>
  <c r="J82" i="34"/>
  <c r="L82" i="34" s="1"/>
  <c r="A82" i="34"/>
  <c r="L81" i="34"/>
  <c r="J81" i="34"/>
  <c r="A81" i="34"/>
  <c r="J80" i="34"/>
  <c r="L80" i="34" s="1"/>
  <c r="A80" i="34"/>
  <c r="J79" i="34"/>
  <c r="L79" i="34" s="1"/>
  <c r="A79" i="34"/>
  <c r="J78" i="34"/>
  <c r="L78" i="34" s="1"/>
  <c r="A78" i="34"/>
  <c r="L77" i="34"/>
  <c r="J77" i="34"/>
  <c r="A77" i="34"/>
  <c r="J76" i="34"/>
  <c r="L76" i="34" s="1"/>
  <c r="A76" i="34"/>
  <c r="L75" i="34"/>
  <c r="J75" i="34"/>
  <c r="A75" i="34"/>
  <c r="J74" i="34"/>
  <c r="L74" i="34" s="1"/>
  <c r="A74" i="34"/>
  <c r="L73" i="34"/>
  <c r="J73" i="34"/>
  <c r="A73" i="34"/>
  <c r="L72" i="34"/>
  <c r="J72" i="34"/>
  <c r="A72" i="34"/>
  <c r="J71" i="34"/>
  <c r="L71" i="34" s="1"/>
  <c r="A71" i="34"/>
  <c r="J70" i="34"/>
  <c r="L70" i="34" s="1"/>
  <c r="A70" i="34"/>
  <c r="L69" i="34"/>
  <c r="J69" i="34"/>
  <c r="F69" i="34"/>
  <c r="A69" i="34"/>
  <c r="L68" i="34"/>
  <c r="J68" i="34"/>
  <c r="A68" i="34"/>
  <c r="J67" i="34"/>
  <c r="L67" i="34" s="1"/>
  <c r="A67" i="34"/>
  <c r="J66" i="34"/>
  <c r="L66" i="34" s="1"/>
  <c r="A66" i="34"/>
  <c r="J65" i="34"/>
  <c r="L65" i="34" s="1"/>
  <c r="A65" i="34"/>
  <c r="L64" i="34"/>
  <c r="J64" i="34"/>
  <c r="A64" i="34"/>
  <c r="J63" i="34"/>
  <c r="L63" i="34" s="1"/>
  <c r="A63" i="34"/>
  <c r="J62" i="34"/>
  <c r="L62" i="34" s="1"/>
  <c r="A62" i="34"/>
  <c r="J61" i="34"/>
  <c r="L61" i="34" s="1"/>
  <c r="A61" i="34"/>
  <c r="L60" i="34"/>
  <c r="J60" i="34"/>
  <c r="A60" i="34"/>
  <c r="J59" i="34"/>
  <c r="L59" i="34" s="1"/>
  <c r="A59" i="34"/>
  <c r="L58" i="34"/>
  <c r="J58" i="34"/>
  <c r="A58" i="34"/>
  <c r="J57" i="34"/>
  <c r="L57" i="34" s="1"/>
  <c r="A57" i="34"/>
  <c r="L56" i="34"/>
  <c r="J56" i="34"/>
  <c r="A56" i="34"/>
  <c r="L55" i="34"/>
  <c r="J55" i="34"/>
  <c r="A55" i="34"/>
  <c r="J54" i="34"/>
  <c r="L54" i="34" s="1"/>
  <c r="A54" i="34"/>
  <c r="J53" i="34"/>
  <c r="L53" i="34" s="1"/>
  <c r="A53" i="34"/>
  <c r="L52" i="34"/>
  <c r="J52" i="34"/>
  <c r="A52" i="34"/>
  <c r="J51" i="34"/>
  <c r="L51" i="34" s="1"/>
  <c r="A51" i="34"/>
  <c r="J50" i="34"/>
  <c r="L50" i="34" s="1"/>
  <c r="A50" i="34"/>
  <c r="J49" i="34"/>
  <c r="L49" i="34" s="1"/>
  <c r="A49" i="34"/>
  <c r="L48" i="34"/>
  <c r="J48" i="34"/>
  <c r="A48" i="34"/>
  <c r="J47" i="34"/>
  <c r="L47" i="34" s="1"/>
  <c r="A47" i="34"/>
  <c r="J46" i="34"/>
  <c r="L46" i="34" s="1"/>
  <c r="A46" i="34"/>
  <c r="J45" i="34"/>
  <c r="L45" i="34" s="1"/>
  <c r="A45" i="34"/>
  <c r="K44" i="34"/>
  <c r="J44" i="34"/>
  <c r="L44" i="34" s="1"/>
  <c r="A44" i="34"/>
  <c r="L43" i="34"/>
  <c r="J43" i="34"/>
  <c r="A43" i="34"/>
  <c r="J42" i="34"/>
  <c r="L42" i="34" s="1"/>
  <c r="A42" i="34"/>
  <c r="L41" i="34"/>
  <c r="J41" i="34"/>
  <c r="A41" i="34"/>
  <c r="J40" i="34"/>
  <c r="L40" i="34" s="1"/>
  <c r="F40" i="34"/>
  <c r="A40" i="34"/>
  <c r="J39" i="34"/>
  <c r="L39" i="34" s="1"/>
  <c r="A39" i="34"/>
  <c r="L38" i="34"/>
  <c r="J38" i="34"/>
  <c r="A38" i="34"/>
  <c r="J37" i="34"/>
  <c r="L37" i="34" s="1"/>
  <c r="A37" i="34"/>
  <c r="J36" i="34"/>
  <c r="L36" i="34" s="1"/>
  <c r="A36" i="34"/>
  <c r="J35" i="34"/>
  <c r="L35" i="34" s="1"/>
  <c r="A35" i="34"/>
  <c r="L34" i="34"/>
  <c r="J34" i="34"/>
  <c r="A34" i="34"/>
  <c r="J33" i="34"/>
  <c r="L33" i="34" s="1"/>
  <c r="A33" i="34"/>
  <c r="J32" i="34"/>
  <c r="L32" i="34" s="1"/>
  <c r="A32" i="34"/>
  <c r="J31" i="34"/>
  <c r="L31" i="34" s="1"/>
  <c r="A31" i="34"/>
  <c r="L30" i="34"/>
  <c r="J30" i="34"/>
  <c r="A30" i="34"/>
  <c r="J29" i="34"/>
  <c r="L29" i="34" s="1"/>
  <c r="A29" i="34"/>
  <c r="L28" i="34"/>
  <c r="J28" i="34"/>
  <c r="A28" i="34"/>
  <c r="J27" i="34"/>
  <c r="L27" i="34" s="1"/>
  <c r="A27" i="34"/>
  <c r="L26" i="34"/>
  <c r="J26" i="34"/>
  <c r="A26" i="34"/>
  <c r="L25" i="34"/>
  <c r="J25" i="34"/>
  <c r="A25" i="34"/>
  <c r="J24" i="34"/>
  <c r="L24" i="34" s="1"/>
  <c r="A24" i="34"/>
  <c r="J23" i="34"/>
  <c r="L23" i="34" s="1"/>
  <c r="A23" i="34"/>
  <c r="L22" i="34"/>
  <c r="J22" i="34"/>
  <c r="A22" i="34"/>
  <c r="J21" i="34"/>
  <c r="L21" i="34" s="1"/>
  <c r="A21" i="34"/>
  <c r="J20" i="34"/>
  <c r="L20" i="34" s="1"/>
  <c r="A20" i="34"/>
  <c r="J19" i="34"/>
  <c r="L19" i="34" s="1"/>
  <c r="A19" i="34"/>
  <c r="J18" i="34"/>
  <c r="L18" i="34" s="1"/>
  <c r="A18" i="34"/>
  <c r="J17" i="34"/>
  <c r="L17" i="34" s="1"/>
  <c r="A17" i="34"/>
  <c r="J16" i="34"/>
  <c r="L16" i="34" s="1"/>
  <c r="A16" i="34"/>
  <c r="L15" i="34"/>
  <c r="J15" i="34"/>
  <c r="A15" i="34"/>
  <c r="J14" i="34"/>
  <c r="L14" i="34" s="1"/>
  <c r="A14" i="34"/>
  <c r="J13" i="34"/>
  <c r="L13" i="34" s="1"/>
  <c r="A13" i="34"/>
  <c r="J12" i="34"/>
  <c r="L12" i="34" s="1"/>
  <c r="A12" i="34"/>
  <c r="L11" i="34"/>
  <c r="J11" i="34"/>
  <c r="A11" i="34"/>
  <c r="J10" i="34"/>
  <c r="L10" i="34" s="1"/>
  <c r="A10" i="34"/>
  <c r="J9" i="34"/>
  <c r="L9" i="34" s="1"/>
  <c r="A9" i="34"/>
  <c r="J8" i="34"/>
  <c r="L8" i="34" s="1"/>
  <c r="A8" i="34"/>
  <c r="L7" i="34"/>
  <c r="J7" i="34"/>
  <c r="A7" i="34"/>
  <c r="J6" i="34"/>
  <c r="L6" i="34" s="1"/>
  <c r="A6" i="34"/>
  <c r="J5" i="34"/>
  <c r="L5" i="34" s="1"/>
  <c r="L355" i="34" s="1"/>
  <c r="A5" i="34"/>
  <c r="D2" i="34"/>
  <c r="J2" i="34" l="1"/>
  <c r="I3" i="34"/>
  <c r="J3" i="34" s="1"/>
  <c r="N155" i="34"/>
  <c r="G11" i="25" l="1"/>
  <c r="E29" i="25"/>
  <c r="H22" i="25"/>
  <c r="H23" i="25"/>
  <c r="H25" i="25"/>
  <c r="H26" i="25"/>
  <c r="H27" i="25"/>
  <c r="H28" i="25"/>
  <c r="H29" i="25"/>
  <c r="H31" i="25"/>
  <c r="H33" i="25"/>
  <c r="H21" i="25"/>
  <c r="E27" i="24"/>
  <c r="D36" i="25"/>
  <c r="H24" i="25"/>
  <c r="E27" i="25"/>
  <c r="E25" i="25"/>
  <c r="E22" i="25"/>
  <c r="E23" i="25"/>
  <c r="E21" i="25"/>
  <c r="F34" i="25"/>
  <c r="G26" i="25"/>
  <c r="G31" i="25"/>
  <c r="G33" i="25"/>
  <c r="G10" i="25"/>
  <c r="G9" i="25"/>
  <c r="C14" i="25"/>
  <c r="C16" i="25" s="1"/>
  <c r="E14" i="25"/>
  <c r="E16" i="25" s="1"/>
  <c r="G5" i="25"/>
  <c r="G6" i="25"/>
  <c r="G7" i="25"/>
  <c r="G8" i="25"/>
  <c r="G12" i="25"/>
  <c r="G13" i="25"/>
  <c r="G4" i="25"/>
  <c r="I45" i="24"/>
  <c r="I46" i="24"/>
  <c r="I48" i="24" s="1"/>
  <c r="I47" i="24"/>
  <c r="I44" i="24"/>
  <c r="E48" i="24"/>
  <c r="G48" i="24"/>
  <c r="F47" i="24"/>
  <c r="F46" i="24"/>
  <c r="F45" i="24"/>
  <c r="F44" i="24"/>
  <c r="H29" i="24"/>
  <c r="I29" i="24"/>
  <c r="I30" i="24"/>
  <c r="I31" i="24"/>
  <c r="I32" i="24"/>
  <c r="I33" i="24"/>
  <c r="H34" i="24"/>
  <c r="H36" i="24"/>
  <c r="H37" i="24"/>
  <c r="I37" i="24"/>
  <c r="I25" i="24"/>
  <c r="I26" i="24"/>
  <c r="I27" i="24"/>
  <c r="I28" i="24"/>
  <c r="I24" i="24"/>
  <c r="E38" i="24"/>
  <c r="G38" i="24"/>
  <c r="F31" i="24"/>
  <c r="F32" i="24"/>
  <c r="F33" i="24"/>
  <c r="F39" i="24" s="1"/>
  <c r="F30" i="24"/>
  <c r="F25" i="24"/>
  <c r="F26" i="24"/>
  <c r="F27" i="24"/>
  <c r="F28" i="24"/>
  <c r="F24" i="24"/>
  <c r="H14" i="24"/>
  <c r="G14" i="24"/>
  <c r="H7" i="24"/>
  <c r="H8" i="24"/>
  <c r="H9" i="24"/>
  <c r="H10" i="24"/>
  <c r="H11" i="24"/>
  <c r="H12" i="24"/>
  <c r="H5" i="24"/>
  <c r="G5" i="24"/>
  <c r="E19" i="24"/>
  <c r="C87" i="23"/>
  <c r="H107" i="23"/>
  <c r="AD2" i="31"/>
  <c r="B10" i="25" s="1"/>
  <c r="Q2" i="31"/>
  <c r="U2" i="31"/>
  <c r="D5" i="25" s="1"/>
  <c r="H109" i="23" l="1"/>
  <c r="F48" i="24"/>
  <c r="Z2" i="31"/>
  <c r="B8" i="25" s="1"/>
  <c r="V2" i="31"/>
  <c r="B6" i="25" s="1"/>
  <c r="X2" i="31"/>
  <c r="B7" i="25" s="1"/>
  <c r="AH2" i="31"/>
  <c r="B12" i="25" s="1"/>
  <c r="F12" i="25" s="1"/>
  <c r="AB2" i="31"/>
  <c r="B9" i="25" s="1"/>
  <c r="AI2" i="31"/>
  <c r="B13" i="25" s="1"/>
  <c r="AF2" i="31"/>
  <c r="B11" i="25" s="1"/>
  <c r="AE2" i="31"/>
  <c r="D10" i="25" s="1"/>
  <c r="F10" i="25" s="1"/>
  <c r="D34" i="25"/>
  <c r="H30" i="25"/>
  <c r="H34" i="25" s="1"/>
  <c r="G14" i="25"/>
  <c r="K2" i="31"/>
  <c r="C12" i="24" s="1"/>
  <c r="F38" i="24"/>
  <c r="L2" i="31"/>
  <c r="E12" i="24" s="1"/>
  <c r="O2" i="31"/>
  <c r="C9" i="24" s="1"/>
  <c r="G10" i="24"/>
  <c r="M2" i="31"/>
  <c r="I38" i="24"/>
  <c r="G7" i="24"/>
  <c r="C8" i="24"/>
  <c r="T2" i="31"/>
  <c r="B5" i="25" s="1"/>
  <c r="F5" i="25" s="1"/>
  <c r="H13" i="24"/>
  <c r="H15" i="24" s="1"/>
  <c r="F13" i="24"/>
  <c r="F15" i="24" s="1"/>
  <c r="F17" i="24" s="1"/>
  <c r="D13" i="24"/>
  <c r="D15" i="24" s="1"/>
  <c r="D17" i="24" s="1"/>
  <c r="J13" i="24"/>
  <c r="C86" i="23"/>
  <c r="D44" i="23"/>
  <c r="D46" i="23" s="1"/>
  <c r="D42" i="23"/>
  <c r="D41" i="23" s="1"/>
  <c r="C34" i="23"/>
  <c r="J34" i="23" s="1"/>
  <c r="F20" i="23"/>
  <c r="E21" i="23"/>
  <c r="C21" i="23"/>
  <c r="F151" i="22"/>
  <c r="E151" i="22"/>
  <c r="D151" i="22"/>
  <c r="C151" i="22"/>
  <c r="N6" i="32"/>
  <c r="N7" i="32"/>
  <c r="N8" i="32"/>
  <c r="N9" i="32"/>
  <c r="N10" i="32"/>
  <c r="N11" i="32"/>
  <c r="N12" i="32"/>
  <c r="N13" i="32"/>
  <c r="N14" i="32"/>
  <c r="N15" i="32"/>
  <c r="N16" i="32"/>
  <c r="N17" i="32"/>
  <c r="N18" i="32"/>
  <c r="N20" i="32"/>
  <c r="N21" i="32"/>
  <c r="N22" i="32"/>
  <c r="N23" i="32"/>
  <c r="N24" i="32"/>
  <c r="N25" i="32"/>
  <c r="N26" i="32"/>
  <c r="N27" i="32"/>
  <c r="N28" i="32"/>
  <c r="N29" i="32"/>
  <c r="N30" i="32"/>
  <c r="N31" i="32"/>
  <c r="N32" i="32"/>
  <c r="D79" i="22"/>
  <c r="D82" i="22" s="1"/>
  <c r="D83" i="22"/>
  <c r="F86" i="23" l="1"/>
  <c r="F19" i="23"/>
  <c r="G19" i="23" s="1"/>
  <c r="D84" i="22"/>
  <c r="G9" i="24"/>
  <c r="R2" i="32"/>
  <c r="O2" i="32"/>
  <c r="P2" i="32"/>
  <c r="Y2" i="31"/>
  <c r="D7" i="25" s="1"/>
  <c r="F7" i="25" s="1"/>
  <c r="AC2" i="31"/>
  <c r="D9" i="25" s="1"/>
  <c r="F9" i="25" s="1"/>
  <c r="AJ2" i="31"/>
  <c r="D13" i="25" s="1"/>
  <c r="F13" i="25" s="1"/>
  <c r="AA2" i="31"/>
  <c r="D8" i="25" s="1"/>
  <c r="F8" i="25" s="1"/>
  <c r="W2" i="31"/>
  <c r="D6" i="25" s="1"/>
  <c r="F6" i="25" s="1"/>
  <c r="AG2" i="31"/>
  <c r="D11" i="25" s="1"/>
  <c r="F11" i="25" s="1"/>
  <c r="D4" i="25"/>
  <c r="G12" i="24"/>
  <c r="J2" i="31"/>
  <c r="E8" i="24" s="1"/>
  <c r="N2" i="31"/>
  <c r="E11" i="24" s="1"/>
  <c r="G11" i="24" s="1"/>
  <c r="C13" i="24"/>
  <c r="G151" i="22"/>
  <c r="M50" i="22"/>
  <c r="E30" i="25"/>
  <c r="E28" i="25"/>
  <c r="E24" i="25"/>
  <c r="D14" i="25" l="1"/>
  <c r="G2" i="31"/>
  <c r="B4" i="25"/>
  <c r="F4" i="25" s="1"/>
  <c r="F14" i="25" s="1"/>
  <c r="E34" i="25"/>
  <c r="E13" i="24"/>
  <c r="E15" i="24" s="1"/>
  <c r="G8" i="24"/>
  <c r="G13" i="24" s="1"/>
  <c r="G15" i="24" s="1"/>
  <c r="I9" i="24" s="1"/>
  <c r="M43" i="22"/>
  <c r="B376" i="9"/>
  <c r="A376" i="9"/>
  <c r="E18" i="24" l="1"/>
  <c r="I8" i="24"/>
  <c r="I7" i="24"/>
  <c r="D60" i="22"/>
  <c r="E60" i="22"/>
  <c r="F60" i="22"/>
  <c r="G60" i="22"/>
  <c r="H60" i="22"/>
  <c r="I60" i="22"/>
  <c r="J60" i="22"/>
  <c r="K60" i="22"/>
  <c r="L60" i="22"/>
  <c r="C60" i="22"/>
  <c r="D57" i="22"/>
  <c r="D61" i="22" s="1"/>
  <c r="E57" i="22"/>
  <c r="F57" i="22"/>
  <c r="F61" i="22" s="1"/>
  <c r="G57" i="22"/>
  <c r="G61" i="22" s="1"/>
  <c r="H57" i="22"/>
  <c r="H61" i="22" s="1"/>
  <c r="I57" i="22"/>
  <c r="I61" i="22" s="1"/>
  <c r="J57" i="22"/>
  <c r="K57" i="22"/>
  <c r="L57" i="22"/>
  <c r="L61" i="22" s="1"/>
  <c r="C57" i="22"/>
  <c r="C61" i="22" s="1"/>
  <c r="M56" i="22"/>
  <c r="M55" i="22"/>
  <c r="M54" i="22"/>
  <c r="M48" i="22"/>
  <c r="M49" i="22"/>
  <c r="M47" i="22"/>
  <c r="D25" i="22"/>
  <c r="E25" i="22"/>
  <c r="F25" i="22"/>
  <c r="G25" i="22"/>
  <c r="H25" i="22"/>
  <c r="C25" i="22"/>
  <c r="M41" i="22"/>
  <c r="M40" i="22"/>
  <c r="M39" i="22"/>
  <c r="I28" i="22"/>
  <c r="I24" i="22"/>
  <c r="I17" i="22"/>
  <c r="I23" i="22"/>
  <c r="I22" i="22"/>
  <c r="H29" i="22"/>
  <c r="I15" i="22"/>
  <c r="I7" i="22"/>
  <c r="F29" i="22"/>
  <c r="I8" i="22"/>
  <c r="I9" i="22"/>
  <c r="I11" i="22"/>
  <c r="M51" i="22" l="1"/>
  <c r="M44" i="22"/>
  <c r="I12" i="22"/>
  <c r="M57" i="22"/>
  <c r="M60" i="22"/>
  <c r="C29" i="22"/>
  <c r="E29" i="22"/>
  <c r="K61" i="22"/>
  <c r="I25" i="22"/>
  <c r="E61" i="22"/>
  <c r="J61" i="22"/>
  <c r="D29" i="22"/>
  <c r="G29" i="22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353" i="9"/>
  <c r="A354" i="9"/>
  <c r="A355" i="9"/>
  <c r="A356" i="9"/>
  <c r="A357" i="9"/>
  <c r="A358" i="9"/>
  <c r="A359" i="9"/>
  <c r="A360" i="9"/>
  <c r="A361" i="9"/>
  <c r="A362" i="9"/>
  <c r="A363" i="9"/>
  <c r="A364" i="9"/>
  <c r="A365" i="9"/>
  <c r="A366" i="9"/>
  <c r="A367" i="9"/>
  <c r="A368" i="9"/>
  <c r="A369" i="9"/>
  <c r="A370" i="9"/>
  <c r="A371" i="9"/>
  <c r="A372" i="9"/>
  <c r="A373" i="9"/>
  <c r="A374" i="9"/>
  <c r="A375" i="9"/>
  <c r="M61" i="22" l="1"/>
  <c r="F224" i="14"/>
  <c r="B30" i="15"/>
  <c r="E34" i="2" l="1"/>
  <c r="D71" i="2"/>
  <c r="E44" i="5"/>
  <c r="E1" i="5"/>
  <c r="E1" i="2"/>
  <c r="AL43" i="15"/>
  <c r="AK43" i="15"/>
  <c r="AJ43" i="15"/>
  <c r="AI43" i="15"/>
  <c r="AH43" i="15"/>
  <c r="AG43" i="15"/>
  <c r="AF43" i="15"/>
  <c r="N40" i="15"/>
  <c r="M40" i="15"/>
  <c r="L40" i="15"/>
  <c r="K40" i="15"/>
  <c r="J40" i="15"/>
  <c r="G40" i="15"/>
  <c r="H40" i="15"/>
  <c r="I40" i="15"/>
  <c r="AE29" i="15"/>
  <c r="AF29" i="15"/>
  <c r="AG29" i="15"/>
  <c r="AH29" i="15"/>
  <c r="AI29" i="15"/>
  <c r="AJ29" i="15"/>
  <c r="AK29" i="15"/>
  <c r="AL29" i="15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AG30" i="15"/>
  <c r="AH30" i="15"/>
  <c r="AI30" i="15"/>
  <c r="AJ30" i="15"/>
  <c r="AK30" i="15"/>
  <c r="AL30" i="15"/>
  <c r="AL37" i="15"/>
  <c r="AK37" i="15"/>
  <c r="AJ37" i="15"/>
  <c r="AI37" i="15"/>
  <c r="AH37" i="15"/>
  <c r="AG37" i="15"/>
  <c r="AF37" i="15"/>
  <c r="AC34" i="15"/>
  <c r="AB34" i="15"/>
  <c r="AA34" i="15"/>
  <c r="Z34" i="15"/>
  <c r="Y34" i="15"/>
  <c r="X34" i="15"/>
  <c r="AK34" i="15"/>
  <c r="AJ34" i="15"/>
  <c r="AI34" i="15"/>
  <c r="AL34" i="15"/>
  <c r="AH34" i="15"/>
  <c r="AG34" i="15"/>
  <c r="AF34" i="15"/>
  <c r="AE34" i="15"/>
  <c r="T15" i="15"/>
  <c r="T13" i="15"/>
  <c r="N15" i="15"/>
  <c r="B43" i="15"/>
  <c r="F227" i="14"/>
  <c r="AE37" i="15"/>
  <c r="AE43" i="15"/>
  <c r="C15" i="13"/>
  <c r="C14" i="13"/>
  <c r="L171" i="19" l="1"/>
  <c r="F123" i="22" l="1"/>
  <c r="B14" i="25" l="1"/>
  <c r="D15" i="25"/>
  <c r="G15" i="25"/>
  <c r="G16" i="25" s="1"/>
  <c r="C15" i="24"/>
  <c r="E16" i="24"/>
  <c r="P161" i="19"/>
  <c r="P162" i="19"/>
  <c r="P163" i="19"/>
  <c r="P164" i="19"/>
  <c r="P165" i="19"/>
  <c r="P166" i="19"/>
  <c r="P167" i="19"/>
  <c r="P168" i="19"/>
  <c r="P169" i="19"/>
  <c r="P170" i="19"/>
  <c r="P171" i="19"/>
  <c r="P172" i="19"/>
  <c r="P173" i="19"/>
  <c r="P174" i="19"/>
  <c r="P175" i="19"/>
  <c r="P176" i="19"/>
  <c r="P177" i="19"/>
  <c r="P178" i="19"/>
  <c r="P179" i="19"/>
  <c r="P180" i="19"/>
  <c r="P181" i="19"/>
  <c r="P182" i="19"/>
  <c r="P183" i="19"/>
  <c r="P184" i="19"/>
  <c r="P185" i="19"/>
  <c r="P186" i="19"/>
  <c r="P187" i="19"/>
  <c r="P188" i="19"/>
  <c r="P189" i="19"/>
  <c r="P190" i="19"/>
  <c r="P191" i="19"/>
  <c r="P192" i="19"/>
  <c r="P193" i="19"/>
  <c r="P194" i="19"/>
  <c r="P195" i="19"/>
  <c r="P196" i="19"/>
  <c r="P197" i="19"/>
  <c r="P198" i="19"/>
  <c r="P199" i="19"/>
  <c r="P200" i="19"/>
  <c r="P201" i="19"/>
  <c r="P204" i="19"/>
  <c r="P205" i="19"/>
  <c r="P206" i="19"/>
  <c r="P207" i="19"/>
  <c r="P208" i="19"/>
  <c r="P209" i="19"/>
  <c r="P210" i="19"/>
  <c r="P211" i="19"/>
  <c r="P212" i="19"/>
  <c r="P213" i="19"/>
  <c r="P214" i="19"/>
  <c r="P215" i="19"/>
  <c r="P216" i="19"/>
  <c r="P217" i="19"/>
  <c r="P218" i="19"/>
  <c r="P219" i="19"/>
  <c r="P220" i="19"/>
  <c r="P221" i="19"/>
  <c r="P222" i="19"/>
  <c r="P223" i="19"/>
  <c r="P224" i="19"/>
  <c r="P225" i="19"/>
  <c r="P226" i="19"/>
  <c r="P227" i="19"/>
  <c r="P228" i="19"/>
  <c r="P229" i="19"/>
  <c r="P230" i="19"/>
  <c r="P231" i="19"/>
  <c r="P232" i="19"/>
  <c r="P233" i="19"/>
  <c r="P234" i="19"/>
  <c r="P235" i="19"/>
  <c r="P236" i="19"/>
  <c r="P237" i="19"/>
  <c r="P238" i="19"/>
  <c r="P239" i="19"/>
  <c r="P240" i="19"/>
  <c r="P241" i="19"/>
  <c r="P242" i="19"/>
  <c r="P243" i="19"/>
  <c r="P244" i="19"/>
  <c r="P245" i="19"/>
  <c r="P246" i="19"/>
  <c r="P247" i="19"/>
  <c r="P248" i="19"/>
  <c r="P249" i="19"/>
  <c r="P250" i="19"/>
  <c r="P251" i="19"/>
  <c r="P252" i="19"/>
  <c r="P253" i="19"/>
  <c r="P254" i="19"/>
  <c r="P255" i="19"/>
  <c r="P256" i="19"/>
  <c r="P257" i="19"/>
  <c r="P258" i="19"/>
  <c r="P259" i="19"/>
  <c r="P260" i="19"/>
  <c r="P261" i="19"/>
  <c r="P262" i="19"/>
  <c r="P263" i="19"/>
  <c r="P264" i="19"/>
  <c r="P265" i="19"/>
  <c r="P266" i="19"/>
  <c r="P269" i="19"/>
  <c r="P270" i="19"/>
  <c r="P271" i="19"/>
  <c r="P272" i="19"/>
  <c r="P273" i="19"/>
  <c r="P274" i="19"/>
  <c r="P275" i="19"/>
  <c r="P276" i="19"/>
  <c r="P277" i="19"/>
  <c r="P279" i="19"/>
  <c r="P280" i="19"/>
  <c r="P281" i="19"/>
  <c r="P282" i="19"/>
  <c r="P283" i="19"/>
  <c r="P285" i="19"/>
  <c r="P288" i="19"/>
  <c r="P289" i="19"/>
  <c r="P290" i="19"/>
  <c r="P291" i="19"/>
  <c r="P293" i="19"/>
  <c r="P294" i="19"/>
  <c r="P295" i="19"/>
  <c r="P296" i="19"/>
  <c r="P297" i="19"/>
  <c r="P298" i="19"/>
  <c r="P299" i="19"/>
  <c r="P300" i="19"/>
  <c r="P301" i="19"/>
  <c r="P302" i="19"/>
  <c r="P303" i="19"/>
  <c r="P304" i="19"/>
  <c r="P305" i="19"/>
  <c r="P306" i="19"/>
  <c r="P307" i="19"/>
  <c r="P308" i="19"/>
  <c r="P309" i="19"/>
  <c r="P310" i="19"/>
  <c r="P311" i="19"/>
  <c r="P312" i="19"/>
  <c r="P313" i="19"/>
  <c r="P314" i="19"/>
  <c r="P315" i="19"/>
  <c r="P316" i="19"/>
  <c r="P160" i="19"/>
  <c r="K135" i="19"/>
  <c r="L249" i="19"/>
  <c r="M249" i="19" s="1"/>
  <c r="O249" i="19" s="1"/>
  <c r="L160" i="19"/>
  <c r="M160" i="19" s="1"/>
  <c r="O160" i="19" s="1"/>
  <c r="L161" i="19"/>
  <c r="M161" i="19" s="1"/>
  <c r="O161" i="19" s="1"/>
  <c r="L162" i="19"/>
  <c r="M162" i="19" s="1"/>
  <c r="O162" i="19" s="1"/>
  <c r="L163" i="19"/>
  <c r="M163" i="19" s="1"/>
  <c r="O163" i="19" s="1"/>
  <c r="L164" i="19"/>
  <c r="M164" i="19" s="1"/>
  <c r="O164" i="19" s="1"/>
  <c r="L165" i="19"/>
  <c r="M165" i="19" s="1"/>
  <c r="O165" i="19" s="1"/>
  <c r="L166" i="19"/>
  <c r="M166" i="19" s="1"/>
  <c r="O166" i="19" s="1"/>
  <c r="L167" i="19"/>
  <c r="M167" i="19" s="1"/>
  <c r="O167" i="19" s="1"/>
  <c r="L168" i="19"/>
  <c r="M168" i="19" s="1"/>
  <c r="O168" i="19" s="1"/>
  <c r="L169" i="19"/>
  <c r="M169" i="19" s="1"/>
  <c r="O169" i="19" s="1"/>
  <c r="L170" i="19"/>
  <c r="M170" i="19" s="1"/>
  <c r="O170" i="19" s="1"/>
  <c r="M171" i="19"/>
  <c r="O171" i="19" s="1"/>
  <c r="L172" i="19"/>
  <c r="M172" i="19" s="1"/>
  <c r="O172" i="19" s="1"/>
  <c r="L173" i="19"/>
  <c r="M173" i="19" s="1"/>
  <c r="O173" i="19" s="1"/>
  <c r="L174" i="19"/>
  <c r="M174" i="19" s="1"/>
  <c r="O174" i="19" s="1"/>
  <c r="L175" i="19"/>
  <c r="M175" i="19" s="1"/>
  <c r="O175" i="19" s="1"/>
  <c r="L176" i="19"/>
  <c r="M176" i="19" s="1"/>
  <c r="O176" i="19" s="1"/>
  <c r="L177" i="19"/>
  <c r="M177" i="19" s="1"/>
  <c r="O177" i="19" s="1"/>
  <c r="L178" i="19"/>
  <c r="M178" i="19" s="1"/>
  <c r="O178" i="19" s="1"/>
  <c r="L179" i="19"/>
  <c r="M179" i="19" s="1"/>
  <c r="O179" i="19" s="1"/>
  <c r="L180" i="19"/>
  <c r="M180" i="19" s="1"/>
  <c r="O180" i="19" s="1"/>
  <c r="L181" i="19"/>
  <c r="M181" i="19" s="1"/>
  <c r="O181" i="19" s="1"/>
  <c r="L182" i="19"/>
  <c r="M182" i="19" s="1"/>
  <c r="O182" i="19" s="1"/>
  <c r="L183" i="19"/>
  <c r="M183" i="19" s="1"/>
  <c r="O183" i="19" s="1"/>
  <c r="L184" i="19"/>
  <c r="M184" i="19" s="1"/>
  <c r="O184" i="19" s="1"/>
  <c r="L185" i="19"/>
  <c r="M185" i="19" s="1"/>
  <c r="O185" i="19" s="1"/>
  <c r="L186" i="19"/>
  <c r="M186" i="19" s="1"/>
  <c r="O186" i="19" s="1"/>
  <c r="L187" i="19"/>
  <c r="M187" i="19" s="1"/>
  <c r="O187" i="19" s="1"/>
  <c r="L188" i="19"/>
  <c r="M188" i="19" s="1"/>
  <c r="O188" i="19" s="1"/>
  <c r="L189" i="19"/>
  <c r="M189" i="19" s="1"/>
  <c r="O189" i="19" s="1"/>
  <c r="L190" i="19"/>
  <c r="M190" i="19" s="1"/>
  <c r="O190" i="19" s="1"/>
  <c r="L191" i="19"/>
  <c r="M191" i="19" s="1"/>
  <c r="O191" i="19" s="1"/>
  <c r="L192" i="19"/>
  <c r="M192" i="19" s="1"/>
  <c r="O192" i="19" s="1"/>
  <c r="L193" i="19"/>
  <c r="M193" i="19" s="1"/>
  <c r="O193" i="19" s="1"/>
  <c r="L194" i="19"/>
  <c r="M194" i="19" s="1"/>
  <c r="O194" i="19" s="1"/>
  <c r="L195" i="19"/>
  <c r="M195" i="19" s="1"/>
  <c r="O195" i="19" s="1"/>
  <c r="L196" i="19"/>
  <c r="M196" i="19" s="1"/>
  <c r="O196" i="19" s="1"/>
  <c r="L197" i="19"/>
  <c r="M197" i="19" s="1"/>
  <c r="O197" i="19" s="1"/>
  <c r="L198" i="19"/>
  <c r="M198" i="19" s="1"/>
  <c r="O198" i="19" s="1"/>
  <c r="L199" i="19"/>
  <c r="M199" i="19" s="1"/>
  <c r="O199" i="19" s="1"/>
  <c r="L200" i="19"/>
  <c r="M200" i="19" s="1"/>
  <c r="O200" i="19" s="1"/>
  <c r="L201" i="19"/>
  <c r="M201" i="19" s="1"/>
  <c r="O201" i="19" s="1"/>
  <c r="L202" i="19"/>
  <c r="M202" i="19" s="1"/>
  <c r="O202" i="19" s="1"/>
  <c r="L203" i="19"/>
  <c r="M203" i="19" s="1"/>
  <c r="O203" i="19" s="1"/>
  <c r="L204" i="19"/>
  <c r="M204" i="19" s="1"/>
  <c r="O204" i="19" s="1"/>
  <c r="L205" i="19"/>
  <c r="M205" i="19" s="1"/>
  <c r="O205" i="19" s="1"/>
  <c r="L206" i="19"/>
  <c r="M206" i="19" s="1"/>
  <c r="O206" i="19" s="1"/>
  <c r="O1" i="19" s="1"/>
  <c r="L207" i="19"/>
  <c r="M207" i="19" s="1"/>
  <c r="O207" i="19" s="1"/>
  <c r="L208" i="19"/>
  <c r="M208" i="19" s="1"/>
  <c r="O208" i="19" s="1"/>
  <c r="L209" i="19"/>
  <c r="M209" i="19" s="1"/>
  <c r="O209" i="19" s="1"/>
  <c r="L210" i="19"/>
  <c r="M210" i="19" s="1"/>
  <c r="O210" i="19" s="1"/>
  <c r="L211" i="19"/>
  <c r="M211" i="19" s="1"/>
  <c r="O211" i="19" s="1"/>
  <c r="L212" i="19"/>
  <c r="M212" i="19" s="1"/>
  <c r="O212" i="19" s="1"/>
  <c r="L213" i="19"/>
  <c r="M213" i="19" s="1"/>
  <c r="O213" i="19" s="1"/>
  <c r="L214" i="19"/>
  <c r="M214" i="19" s="1"/>
  <c r="O214" i="19" s="1"/>
  <c r="L215" i="19"/>
  <c r="M215" i="19" s="1"/>
  <c r="O215" i="19" s="1"/>
  <c r="L216" i="19"/>
  <c r="M216" i="19" s="1"/>
  <c r="O216" i="19" s="1"/>
  <c r="L217" i="19"/>
  <c r="M217" i="19" s="1"/>
  <c r="O217" i="19" s="1"/>
  <c r="L218" i="19"/>
  <c r="M218" i="19" s="1"/>
  <c r="O218" i="19" s="1"/>
  <c r="L219" i="19"/>
  <c r="M219" i="19" s="1"/>
  <c r="O219" i="19" s="1"/>
  <c r="L220" i="19"/>
  <c r="M220" i="19" s="1"/>
  <c r="O220" i="19" s="1"/>
  <c r="L221" i="19"/>
  <c r="M221" i="19" s="1"/>
  <c r="O221" i="19" s="1"/>
  <c r="L222" i="19"/>
  <c r="M222" i="19" s="1"/>
  <c r="O222" i="19" s="1"/>
  <c r="L223" i="19"/>
  <c r="M223" i="19" s="1"/>
  <c r="O223" i="19" s="1"/>
  <c r="L224" i="19"/>
  <c r="M224" i="19" s="1"/>
  <c r="O224" i="19" s="1"/>
  <c r="L225" i="19"/>
  <c r="M225" i="19" s="1"/>
  <c r="O225" i="19" s="1"/>
  <c r="L226" i="19"/>
  <c r="M226" i="19" s="1"/>
  <c r="O226" i="19" s="1"/>
  <c r="L227" i="19"/>
  <c r="M227" i="19" s="1"/>
  <c r="O227" i="19" s="1"/>
  <c r="L228" i="19"/>
  <c r="M228" i="19" s="1"/>
  <c r="O228" i="19" s="1"/>
  <c r="L229" i="19"/>
  <c r="M229" i="19" s="1"/>
  <c r="O229" i="19" s="1"/>
  <c r="L230" i="19"/>
  <c r="M230" i="19" s="1"/>
  <c r="O230" i="19" s="1"/>
  <c r="L231" i="19"/>
  <c r="M231" i="19" s="1"/>
  <c r="O231" i="19" s="1"/>
  <c r="L232" i="19"/>
  <c r="M232" i="19" s="1"/>
  <c r="O232" i="19" s="1"/>
  <c r="L233" i="19"/>
  <c r="M233" i="19" s="1"/>
  <c r="O233" i="19" s="1"/>
  <c r="L234" i="19"/>
  <c r="M234" i="19" s="1"/>
  <c r="O234" i="19" s="1"/>
  <c r="L235" i="19"/>
  <c r="M235" i="19" s="1"/>
  <c r="O235" i="19" s="1"/>
  <c r="L236" i="19"/>
  <c r="M236" i="19" s="1"/>
  <c r="O236" i="19" s="1"/>
  <c r="L237" i="19"/>
  <c r="M237" i="19" s="1"/>
  <c r="O237" i="19" s="1"/>
  <c r="L238" i="19"/>
  <c r="M238" i="19" s="1"/>
  <c r="O238" i="19" s="1"/>
  <c r="L239" i="19"/>
  <c r="M239" i="19" s="1"/>
  <c r="O239" i="19" s="1"/>
  <c r="L240" i="19"/>
  <c r="M240" i="19" s="1"/>
  <c r="O240" i="19" s="1"/>
  <c r="L241" i="19"/>
  <c r="M241" i="19" s="1"/>
  <c r="O241" i="19" s="1"/>
  <c r="L242" i="19"/>
  <c r="M242" i="19" s="1"/>
  <c r="O242" i="19" s="1"/>
  <c r="L243" i="19"/>
  <c r="M243" i="19" s="1"/>
  <c r="O243" i="19" s="1"/>
  <c r="L244" i="19"/>
  <c r="M244" i="19" s="1"/>
  <c r="O244" i="19" s="1"/>
  <c r="L245" i="19"/>
  <c r="M245" i="19" s="1"/>
  <c r="O245" i="19" s="1"/>
  <c r="L246" i="19"/>
  <c r="M246" i="19" s="1"/>
  <c r="O246" i="19" s="1"/>
  <c r="L247" i="19"/>
  <c r="M247" i="19" s="1"/>
  <c r="O247" i="19" s="1"/>
  <c r="L248" i="19"/>
  <c r="M248" i="19" s="1"/>
  <c r="O248" i="19" s="1"/>
  <c r="L250" i="19"/>
  <c r="M250" i="19" s="1"/>
  <c r="O250" i="19" s="1"/>
  <c r="L251" i="19"/>
  <c r="M251" i="19" s="1"/>
  <c r="O251" i="19" s="1"/>
  <c r="L252" i="19"/>
  <c r="M252" i="19" s="1"/>
  <c r="O252" i="19" s="1"/>
  <c r="L253" i="19"/>
  <c r="M253" i="19" s="1"/>
  <c r="O253" i="19" s="1"/>
  <c r="L254" i="19"/>
  <c r="M254" i="19" s="1"/>
  <c r="O254" i="19" s="1"/>
  <c r="L255" i="19"/>
  <c r="M255" i="19" s="1"/>
  <c r="O255" i="19" s="1"/>
  <c r="L256" i="19"/>
  <c r="M256" i="19" s="1"/>
  <c r="O256" i="19" s="1"/>
  <c r="L257" i="19"/>
  <c r="M257" i="19" s="1"/>
  <c r="O257" i="19" s="1"/>
  <c r="L258" i="19"/>
  <c r="M258" i="19" s="1"/>
  <c r="O258" i="19" s="1"/>
  <c r="L259" i="19"/>
  <c r="M259" i="19" s="1"/>
  <c r="O259" i="19" s="1"/>
  <c r="L260" i="19"/>
  <c r="M260" i="19" s="1"/>
  <c r="O260" i="19" s="1"/>
  <c r="L261" i="19"/>
  <c r="M261" i="19" s="1"/>
  <c r="O261" i="19" s="1"/>
  <c r="L262" i="19"/>
  <c r="M262" i="19" s="1"/>
  <c r="O262" i="19" s="1"/>
  <c r="L263" i="19"/>
  <c r="M263" i="19" s="1"/>
  <c r="O263" i="19" s="1"/>
  <c r="L264" i="19"/>
  <c r="M264" i="19" s="1"/>
  <c r="O264" i="19" s="1"/>
  <c r="L265" i="19"/>
  <c r="M265" i="19" s="1"/>
  <c r="L266" i="19"/>
  <c r="M266" i="19" s="1"/>
  <c r="O266" i="19" s="1"/>
  <c r="L267" i="19"/>
  <c r="M267" i="19" s="1"/>
  <c r="O267" i="19" s="1"/>
  <c r="L268" i="19"/>
  <c r="M268" i="19" s="1"/>
  <c r="L269" i="19"/>
  <c r="M269" i="19" s="1"/>
  <c r="O269" i="19" s="1"/>
  <c r="L270" i="19"/>
  <c r="M270" i="19" s="1"/>
  <c r="O270" i="19" s="1"/>
  <c r="L271" i="19"/>
  <c r="M271" i="19" s="1"/>
  <c r="O271" i="19" s="1"/>
  <c r="L272" i="19"/>
  <c r="M272" i="19" s="1"/>
  <c r="O272" i="19" s="1"/>
  <c r="L273" i="19"/>
  <c r="M273" i="19" s="1"/>
  <c r="O273" i="19" s="1"/>
  <c r="L274" i="19"/>
  <c r="M274" i="19" s="1"/>
  <c r="O274" i="19" s="1"/>
  <c r="L275" i="19"/>
  <c r="M275" i="19" s="1"/>
  <c r="O275" i="19" s="1"/>
  <c r="L276" i="19"/>
  <c r="M276" i="19" s="1"/>
  <c r="O276" i="19" s="1"/>
  <c r="L277" i="19"/>
  <c r="M277" i="19" s="1"/>
  <c r="O277" i="19" s="1"/>
  <c r="L278" i="19"/>
  <c r="M278" i="19" s="1"/>
  <c r="O278" i="19" s="1"/>
  <c r="L279" i="19"/>
  <c r="M279" i="19" s="1"/>
  <c r="O279" i="19" s="1"/>
  <c r="L280" i="19"/>
  <c r="M280" i="19" s="1"/>
  <c r="O280" i="19" s="1"/>
  <c r="L281" i="19"/>
  <c r="M281" i="19" s="1"/>
  <c r="O281" i="19" s="1"/>
  <c r="L282" i="19"/>
  <c r="M282" i="19" s="1"/>
  <c r="O282" i="19" s="1"/>
  <c r="L283" i="19"/>
  <c r="M283" i="19" s="1"/>
  <c r="O283" i="19" s="1"/>
  <c r="L284" i="19"/>
  <c r="M284" i="19" s="1"/>
  <c r="O284" i="19" s="1"/>
  <c r="L285" i="19"/>
  <c r="M285" i="19" s="1"/>
  <c r="O285" i="19" s="1"/>
  <c r="L286" i="19"/>
  <c r="M286" i="19" s="1"/>
  <c r="O286" i="19" s="1"/>
  <c r="L287" i="19"/>
  <c r="M287" i="19" s="1"/>
  <c r="O287" i="19" s="1"/>
  <c r="L288" i="19"/>
  <c r="M288" i="19" s="1"/>
  <c r="O288" i="19" s="1"/>
  <c r="L289" i="19"/>
  <c r="M289" i="19" s="1"/>
  <c r="O289" i="19" s="1"/>
  <c r="L290" i="19"/>
  <c r="M290" i="19" s="1"/>
  <c r="O290" i="19" s="1"/>
  <c r="L291" i="19"/>
  <c r="M291" i="19" s="1"/>
  <c r="O291" i="19" s="1"/>
  <c r="L292" i="19"/>
  <c r="M292" i="19" s="1"/>
  <c r="O292" i="19" s="1"/>
  <c r="L293" i="19"/>
  <c r="M293" i="19" s="1"/>
  <c r="O293" i="19" s="1"/>
  <c r="L294" i="19"/>
  <c r="M294" i="19" s="1"/>
  <c r="O294" i="19" s="1"/>
  <c r="L295" i="19"/>
  <c r="M295" i="19" s="1"/>
  <c r="O295" i="19" s="1"/>
  <c r="L296" i="19"/>
  <c r="M296" i="19" s="1"/>
  <c r="O296" i="19" s="1"/>
  <c r="L297" i="19"/>
  <c r="M297" i="19" s="1"/>
  <c r="O297" i="19" s="1"/>
  <c r="L298" i="19"/>
  <c r="M298" i="19" s="1"/>
  <c r="O298" i="19" s="1"/>
  <c r="L299" i="19"/>
  <c r="M299" i="19" s="1"/>
  <c r="O299" i="19" s="1"/>
  <c r="L300" i="19"/>
  <c r="M300" i="19" s="1"/>
  <c r="O300" i="19" s="1"/>
  <c r="L301" i="19"/>
  <c r="M301" i="19" s="1"/>
  <c r="O301" i="19" s="1"/>
  <c r="L302" i="19"/>
  <c r="M302" i="19" s="1"/>
  <c r="O302" i="19" s="1"/>
  <c r="L303" i="19"/>
  <c r="M303" i="19" s="1"/>
  <c r="O303" i="19" s="1"/>
  <c r="L304" i="19"/>
  <c r="M304" i="19" s="1"/>
  <c r="O304" i="19" s="1"/>
  <c r="L305" i="19"/>
  <c r="M305" i="19" s="1"/>
  <c r="O305" i="19" s="1"/>
  <c r="L306" i="19"/>
  <c r="M306" i="19" s="1"/>
  <c r="O306" i="19" s="1"/>
  <c r="L307" i="19"/>
  <c r="M307" i="19" s="1"/>
  <c r="O307" i="19" s="1"/>
  <c r="L308" i="19"/>
  <c r="M308" i="19" s="1"/>
  <c r="O308" i="19" s="1"/>
  <c r="L309" i="19"/>
  <c r="M309" i="19" s="1"/>
  <c r="O309" i="19" s="1"/>
  <c r="L310" i="19"/>
  <c r="M310" i="19" s="1"/>
  <c r="O310" i="19" s="1"/>
  <c r="L311" i="19"/>
  <c r="M311" i="19" s="1"/>
  <c r="O311" i="19" s="1"/>
  <c r="L312" i="19"/>
  <c r="M312" i="19" s="1"/>
  <c r="O312" i="19" s="1"/>
  <c r="L313" i="19"/>
  <c r="M313" i="19" s="1"/>
  <c r="O313" i="19" s="1"/>
  <c r="L314" i="19"/>
  <c r="M314" i="19" s="1"/>
  <c r="O314" i="19" s="1"/>
  <c r="L315" i="19"/>
  <c r="M315" i="19" s="1"/>
  <c r="O315" i="19" s="1"/>
  <c r="L316" i="19"/>
  <c r="M316" i="19" s="1"/>
  <c r="O316" i="19" s="1"/>
  <c r="H17" i="24"/>
  <c r="D72" i="23"/>
  <c r="C70" i="23"/>
  <c r="D47" i="23"/>
  <c r="D51" i="23"/>
  <c r="D52" i="23" s="1"/>
  <c r="K146" i="19"/>
  <c r="F119" i="22"/>
  <c r="C103" i="22" s="1"/>
  <c r="G119" i="22"/>
  <c r="C104" i="22" s="1"/>
  <c r="H119" i="22"/>
  <c r="C105" i="22" s="1"/>
  <c r="I119" i="22"/>
  <c r="C106" i="22" s="1"/>
  <c r="C102" i="22" l="1"/>
  <c r="F21" i="23"/>
  <c r="E17" i="24"/>
  <c r="L1" i="19"/>
  <c r="D16" i="25"/>
  <c r="N265" i="19"/>
  <c r="N268" i="19" s="1"/>
  <c r="O268" i="19" s="1"/>
  <c r="F94" i="22"/>
  <c r="E94" i="22"/>
  <c r="C94" i="22"/>
  <c r="D94" i="22"/>
  <c r="I16" i="22"/>
  <c r="C68" i="22" s="1"/>
  <c r="I19" i="22" l="1"/>
  <c r="I29" i="22" s="1"/>
  <c r="C71" i="22"/>
  <c r="I11" i="24"/>
  <c r="I10" i="24"/>
  <c r="I12" i="24"/>
  <c r="O265" i="19"/>
  <c r="G94" i="22"/>
  <c r="A314" i="9"/>
  <c r="B314" i="9"/>
  <c r="A315" i="9"/>
  <c r="B315" i="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167" i="19"/>
  <c r="A168" i="19"/>
  <c r="A169" i="19"/>
  <c r="A170" i="19"/>
  <c r="A171" i="19"/>
  <c r="A172" i="19"/>
  <c r="A173" i="19"/>
  <c r="A174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97" i="19"/>
  <c r="A198" i="19"/>
  <c r="A199" i="19"/>
  <c r="A200" i="19"/>
  <c r="A201" i="19"/>
  <c r="A202" i="19"/>
  <c r="A203" i="19"/>
  <c r="A204" i="19"/>
  <c r="A205" i="19"/>
  <c r="A206" i="19"/>
  <c r="A207" i="19"/>
  <c r="A208" i="19"/>
  <c r="A209" i="19"/>
  <c r="A210" i="19"/>
  <c r="A211" i="19"/>
  <c r="A212" i="19"/>
  <c r="A213" i="19"/>
  <c r="A214" i="19"/>
  <c r="A215" i="19"/>
  <c r="A216" i="19"/>
  <c r="A217" i="19"/>
  <c r="A218" i="19"/>
  <c r="A219" i="19"/>
  <c r="A220" i="19"/>
  <c r="A221" i="19"/>
  <c r="A222" i="19"/>
  <c r="A223" i="19"/>
  <c r="A224" i="19"/>
  <c r="A225" i="19"/>
  <c r="A226" i="19"/>
  <c r="A227" i="19"/>
  <c r="A228" i="19"/>
  <c r="A229" i="19"/>
  <c r="A230" i="19"/>
  <c r="A231" i="19"/>
  <c r="A232" i="19"/>
  <c r="A233" i="19"/>
  <c r="A234" i="19"/>
  <c r="A235" i="19"/>
  <c r="A236" i="19"/>
  <c r="A237" i="19"/>
  <c r="A238" i="19"/>
  <c r="A239" i="19"/>
  <c r="A240" i="19"/>
  <c r="A241" i="19"/>
  <c r="A242" i="19"/>
  <c r="A243" i="19"/>
  <c r="A244" i="19"/>
  <c r="A245" i="19"/>
  <c r="A246" i="19"/>
  <c r="A247" i="19"/>
  <c r="A248" i="19"/>
  <c r="A249" i="19"/>
  <c r="A250" i="19"/>
  <c r="A251" i="19"/>
  <c r="A252" i="19"/>
  <c r="A253" i="19"/>
  <c r="A254" i="19"/>
  <c r="A255" i="19"/>
  <c r="A256" i="19"/>
  <c r="A257" i="19"/>
  <c r="A258" i="19"/>
  <c r="A259" i="19"/>
  <c r="A260" i="19"/>
  <c r="A261" i="19"/>
  <c r="A262" i="19"/>
  <c r="A263" i="19"/>
  <c r="A264" i="19"/>
  <c r="A265" i="19"/>
  <c r="A266" i="19"/>
  <c r="A267" i="19"/>
  <c r="A268" i="19"/>
  <c r="A269" i="19"/>
  <c r="A270" i="19"/>
  <c r="A271" i="19"/>
  <c r="A272" i="19"/>
  <c r="A273" i="19"/>
  <c r="A274" i="19"/>
  <c r="A275" i="19"/>
  <c r="A276" i="19"/>
  <c r="A277" i="19"/>
  <c r="A278" i="19"/>
  <c r="A279" i="19"/>
  <c r="A280" i="19"/>
  <c r="A281" i="19"/>
  <c r="A282" i="19"/>
  <c r="A283" i="19"/>
  <c r="A284" i="19"/>
  <c r="A285" i="19"/>
  <c r="A286" i="19"/>
  <c r="A287" i="19"/>
  <c r="A288" i="19"/>
  <c r="A289" i="19"/>
  <c r="A290" i="19"/>
  <c r="A291" i="19"/>
  <c r="A292" i="19"/>
  <c r="A293" i="19"/>
  <c r="A294" i="19"/>
  <c r="A295" i="19"/>
  <c r="A296" i="19"/>
  <c r="A297" i="19"/>
  <c r="A298" i="19"/>
  <c r="A299" i="19"/>
  <c r="A300" i="19"/>
  <c r="A301" i="19"/>
  <c r="A302" i="19"/>
  <c r="A303" i="19"/>
  <c r="A304" i="19"/>
  <c r="A305" i="19"/>
  <c r="A306" i="19"/>
  <c r="A307" i="19"/>
  <c r="A308" i="19"/>
  <c r="A309" i="19"/>
  <c r="A310" i="19"/>
  <c r="A311" i="19"/>
  <c r="A312" i="19"/>
  <c r="A313" i="19"/>
  <c r="A314" i="19"/>
  <c r="A315" i="19"/>
  <c r="A316" i="19"/>
  <c r="A317" i="19"/>
  <c r="A318" i="19"/>
  <c r="A319" i="19"/>
  <c r="A320" i="19"/>
  <c r="A321" i="19"/>
  <c r="A322" i="19"/>
  <c r="A323" i="19"/>
  <c r="A324" i="19"/>
  <c r="A34" i="19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" i="19"/>
  <c r="J247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2" i="17"/>
  <c r="I13" i="24" l="1"/>
  <c r="I15" i="24" s="1"/>
  <c r="J66" i="18"/>
  <c r="J108" i="18"/>
  <c r="J248" i="18"/>
  <c r="I3" i="18"/>
  <c r="J3" i="18" s="1"/>
  <c r="I4" i="18"/>
  <c r="J4" i="18" s="1"/>
  <c r="I5" i="18"/>
  <c r="J5" i="18" s="1"/>
  <c r="I6" i="18"/>
  <c r="J6" i="18" s="1"/>
  <c r="I7" i="18"/>
  <c r="J7" i="18" s="1"/>
  <c r="I8" i="18"/>
  <c r="J8" i="18" s="1"/>
  <c r="I9" i="18"/>
  <c r="J9" i="18" s="1"/>
  <c r="I10" i="18"/>
  <c r="J10" i="18" s="1"/>
  <c r="I11" i="18"/>
  <c r="J11" i="18" s="1"/>
  <c r="I12" i="18"/>
  <c r="J12" i="18" s="1"/>
  <c r="I13" i="18"/>
  <c r="J13" i="18" s="1"/>
  <c r="I14" i="18"/>
  <c r="J14" i="18" s="1"/>
  <c r="I15" i="18"/>
  <c r="J15" i="18" s="1"/>
  <c r="I16" i="18"/>
  <c r="J16" i="18" s="1"/>
  <c r="I17" i="18"/>
  <c r="J17" i="18" s="1"/>
  <c r="I18" i="18"/>
  <c r="J18" i="18" s="1"/>
  <c r="I19" i="18"/>
  <c r="J19" i="18" s="1"/>
  <c r="I20" i="18"/>
  <c r="J20" i="18" s="1"/>
  <c r="I21" i="18"/>
  <c r="J21" i="18" s="1"/>
  <c r="I22" i="18"/>
  <c r="J22" i="18" s="1"/>
  <c r="I23" i="18"/>
  <c r="J23" i="18" s="1"/>
  <c r="I24" i="18"/>
  <c r="J24" i="18" s="1"/>
  <c r="I25" i="18"/>
  <c r="J25" i="18" s="1"/>
  <c r="I26" i="18"/>
  <c r="J26" i="18" s="1"/>
  <c r="I27" i="18"/>
  <c r="J27" i="18" s="1"/>
  <c r="I28" i="18"/>
  <c r="J28" i="18" s="1"/>
  <c r="I29" i="18"/>
  <c r="J29" i="18" s="1"/>
  <c r="I30" i="18"/>
  <c r="J30" i="18" s="1"/>
  <c r="I31" i="18"/>
  <c r="J31" i="18" s="1"/>
  <c r="I32" i="18"/>
  <c r="J32" i="18" s="1"/>
  <c r="I33" i="18"/>
  <c r="J33" i="18" s="1"/>
  <c r="I34" i="18"/>
  <c r="J34" i="18" s="1"/>
  <c r="I35" i="18"/>
  <c r="J35" i="18" s="1"/>
  <c r="I36" i="18"/>
  <c r="J36" i="18" s="1"/>
  <c r="I37" i="18"/>
  <c r="J37" i="18" s="1"/>
  <c r="I38" i="18"/>
  <c r="J38" i="18" s="1"/>
  <c r="I39" i="18"/>
  <c r="J39" i="18" s="1"/>
  <c r="I40" i="18"/>
  <c r="J40" i="18" s="1"/>
  <c r="I41" i="18"/>
  <c r="J41" i="18" s="1"/>
  <c r="I42" i="18"/>
  <c r="J42" i="18" s="1"/>
  <c r="I43" i="18"/>
  <c r="J43" i="18" s="1"/>
  <c r="I44" i="18"/>
  <c r="J44" i="18" s="1"/>
  <c r="I45" i="18"/>
  <c r="J45" i="18" s="1"/>
  <c r="I46" i="18"/>
  <c r="J46" i="18" s="1"/>
  <c r="I47" i="18"/>
  <c r="J47" i="18" s="1"/>
  <c r="I48" i="18"/>
  <c r="J48" i="18" s="1"/>
  <c r="I49" i="18"/>
  <c r="J49" i="18" s="1"/>
  <c r="I50" i="18"/>
  <c r="J50" i="18" s="1"/>
  <c r="I51" i="18"/>
  <c r="J51" i="18" s="1"/>
  <c r="I52" i="18"/>
  <c r="J52" i="18" s="1"/>
  <c r="I53" i="18"/>
  <c r="J53" i="18" s="1"/>
  <c r="I54" i="18"/>
  <c r="J54" i="18" s="1"/>
  <c r="I55" i="18"/>
  <c r="J55" i="18" s="1"/>
  <c r="I56" i="18"/>
  <c r="J56" i="18" s="1"/>
  <c r="I57" i="18"/>
  <c r="J57" i="18" s="1"/>
  <c r="I58" i="18"/>
  <c r="J58" i="18" s="1"/>
  <c r="I59" i="18"/>
  <c r="J59" i="18" s="1"/>
  <c r="I60" i="18"/>
  <c r="J60" i="18" s="1"/>
  <c r="I61" i="18"/>
  <c r="J61" i="18" s="1"/>
  <c r="I62" i="18"/>
  <c r="J62" i="18" s="1"/>
  <c r="I63" i="18"/>
  <c r="J63" i="18" s="1"/>
  <c r="I64" i="18"/>
  <c r="J64" i="18" s="1"/>
  <c r="I65" i="18"/>
  <c r="J65" i="18" s="1"/>
  <c r="I66" i="18"/>
  <c r="I67" i="18"/>
  <c r="J67" i="18" s="1"/>
  <c r="I68" i="18"/>
  <c r="J68" i="18" s="1"/>
  <c r="I69" i="18"/>
  <c r="J69" i="18" s="1"/>
  <c r="I70" i="18"/>
  <c r="J70" i="18" s="1"/>
  <c r="I71" i="18"/>
  <c r="J71" i="18" s="1"/>
  <c r="I72" i="18"/>
  <c r="J72" i="18" s="1"/>
  <c r="I73" i="18"/>
  <c r="J73" i="18" s="1"/>
  <c r="I74" i="18"/>
  <c r="J74" i="18" s="1"/>
  <c r="I75" i="18"/>
  <c r="J75" i="18" s="1"/>
  <c r="I76" i="18"/>
  <c r="J76" i="18" s="1"/>
  <c r="I77" i="18"/>
  <c r="J77" i="18" s="1"/>
  <c r="I78" i="18"/>
  <c r="J78" i="18" s="1"/>
  <c r="I79" i="18"/>
  <c r="J79" i="18" s="1"/>
  <c r="I80" i="18"/>
  <c r="J80" i="18" s="1"/>
  <c r="I81" i="18"/>
  <c r="J81" i="18" s="1"/>
  <c r="I82" i="18"/>
  <c r="J82" i="18" s="1"/>
  <c r="I83" i="18"/>
  <c r="J83" i="18" s="1"/>
  <c r="I84" i="18"/>
  <c r="J84" i="18" s="1"/>
  <c r="I85" i="18"/>
  <c r="J85" i="18" s="1"/>
  <c r="I86" i="18"/>
  <c r="J86" i="18" s="1"/>
  <c r="I87" i="18"/>
  <c r="J87" i="18" s="1"/>
  <c r="I88" i="18"/>
  <c r="J88" i="18" s="1"/>
  <c r="I89" i="18"/>
  <c r="J89" i="18" s="1"/>
  <c r="I90" i="18"/>
  <c r="J90" i="18" s="1"/>
  <c r="I91" i="18"/>
  <c r="J91" i="18" s="1"/>
  <c r="I92" i="18"/>
  <c r="J92" i="18" s="1"/>
  <c r="I93" i="18"/>
  <c r="J93" i="18" s="1"/>
  <c r="I94" i="18"/>
  <c r="J94" i="18" s="1"/>
  <c r="I95" i="18"/>
  <c r="J95" i="18" s="1"/>
  <c r="I96" i="18"/>
  <c r="J96" i="18" s="1"/>
  <c r="I97" i="18"/>
  <c r="J97" i="18" s="1"/>
  <c r="I98" i="18"/>
  <c r="J98" i="18" s="1"/>
  <c r="I99" i="18"/>
  <c r="J99" i="18" s="1"/>
  <c r="I100" i="18"/>
  <c r="J100" i="18" s="1"/>
  <c r="I101" i="18"/>
  <c r="J101" i="18" s="1"/>
  <c r="I102" i="18"/>
  <c r="J102" i="18" s="1"/>
  <c r="I103" i="18"/>
  <c r="J103" i="18" s="1"/>
  <c r="I104" i="18"/>
  <c r="J104" i="18" s="1"/>
  <c r="I105" i="18"/>
  <c r="J105" i="18" s="1"/>
  <c r="I106" i="18"/>
  <c r="J106" i="18" s="1"/>
  <c r="I107" i="18"/>
  <c r="J107" i="18" s="1"/>
  <c r="I109" i="18"/>
  <c r="J109" i="18" s="1"/>
  <c r="I110" i="18"/>
  <c r="J110" i="18" s="1"/>
  <c r="I111" i="18"/>
  <c r="J111" i="18" s="1"/>
  <c r="I112" i="18"/>
  <c r="J112" i="18" s="1"/>
  <c r="I113" i="18"/>
  <c r="J113" i="18" s="1"/>
  <c r="I114" i="18"/>
  <c r="J114" i="18" s="1"/>
  <c r="I115" i="18"/>
  <c r="J115" i="18" s="1"/>
  <c r="I116" i="18"/>
  <c r="J116" i="18" s="1"/>
  <c r="I117" i="18"/>
  <c r="J117" i="18" s="1"/>
  <c r="I118" i="18"/>
  <c r="J118" i="18" s="1"/>
  <c r="I119" i="18"/>
  <c r="J119" i="18" s="1"/>
  <c r="I120" i="18"/>
  <c r="J120" i="18" s="1"/>
  <c r="I121" i="18"/>
  <c r="J121" i="18" s="1"/>
  <c r="I122" i="18"/>
  <c r="J122" i="18" s="1"/>
  <c r="I123" i="18"/>
  <c r="J123" i="18" s="1"/>
  <c r="I124" i="18"/>
  <c r="J124" i="18" s="1"/>
  <c r="I125" i="18"/>
  <c r="J125" i="18" s="1"/>
  <c r="I126" i="18"/>
  <c r="J126" i="18" s="1"/>
  <c r="I127" i="18"/>
  <c r="J127" i="18" s="1"/>
  <c r="I128" i="18"/>
  <c r="J128" i="18" s="1"/>
  <c r="I129" i="18"/>
  <c r="J129" i="18" s="1"/>
  <c r="I130" i="18"/>
  <c r="J130" i="18" s="1"/>
  <c r="I131" i="18"/>
  <c r="J131" i="18" s="1"/>
  <c r="I132" i="18"/>
  <c r="J132" i="18" s="1"/>
  <c r="I133" i="18"/>
  <c r="J133" i="18" s="1"/>
  <c r="I134" i="18"/>
  <c r="J134" i="18" s="1"/>
  <c r="I135" i="18"/>
  <c r="J135" i="18" s="1"/>
  <c r="I136" i="18"/>
  <c r="J136" i="18" s="1"/>
  <c r="I137" i="18"/>
  <c r="J137" i="18" s="1"/>
  <c r="I138" i="18"/>
  <c r="J138" i="18" s="1"/>
  <c r="I139" i="18"/>
  <c r="J139" i="18" s="1"/>
  <c r="I140" i="18"/>
  <c r="J140" i="18" s="1"/>
  <c r="I141" i="18"/>
  <c r="J141" i="18" s="1"/>
  <c r="I142" i="18"/>
  <c r="J142" i="18" s="1"/>
  <c r="I143" i="18"/>
  <c r="J143" i="18" s="1"/>
  <c r="I144" i="18"/>
  <c r="J144" i="18" s="1"/>
  <c r="I145" i="18"/>
  <c r="J145" i="18" s="1"/>
  <c r="I146" i="18"/>
  <c r="J146" i="18" s="1"/>
  <c r="I147" i="18"/>
  <c r="J147" i="18" s="1"/>
  <c r="I148" i="18"/>
  <c r="J148" i="18" s="1"/>
  <c r="I149" i="18"/>
  <c r="J149" i="18" s="1"/>
  <c r="I150" i="18"/>
  <c r="J150" i="18" s="1"/>
  <c r="I151" i="18"/>
  <c r="J151" i="18" s="1"/>
  <c r="I152" i="18"/>
  <c r="J152" i="18" s="1"/>
  <c r="I153" i="18"/>
  <c r="J153" i="18" s="1"/>
  <c r="I154" i="18"/>
  <c r="J154" i="18" s="1"/>
  <c r="I155" i="18"/>
  <c r="J155" i="18" s="1"/>
  <c r="I156" i="18"/>
  <c r="J156" i="18" s="1"/>
  <c r="I157" i="18"/>
  <c r="J157" i="18" s="1"/>
  <c r="I158" i="18"/>
  <c r="J158" i="18" s="1"/>
  <c r="I159" i="18"/>
  <c r="J159" i="18" s="1"/>
  <c r="I160" i="18"/>
  <c r="J160" i="18" s="1"/>
  <c r="I161" i="18"/>
  <c r="J161" i="18" s="1"/>
  <c r="I162" i="18"/>
  <c r="J162" i="18" s="1"/>
  <c r="I163" i="18"/>
  <c r="J163" i="18" s="1"/>
  <c r="I164" i="18"/>
  <c r="J164" i="18" s="1"/>
  <c r="I165" i="18"/>
  <c r="J165" i="18" s="1"/>
  <c r="I166" i="18"/>
  <c r="J166" i="18" s="1"/>
  <c r="I167" i="18"/>
  <c r="J167" i="18" s="1"/>
  <c r="I168" i="18"/>
  <c r="J168" i="18" s="1"/>
  <c r="I169" i="18"/>
  <c r="J169" i="18" s="1"/>
  <c r="I170" i="18"/>
  <c r="J170" i="18" s="1"/>
  <c r="I171" i="18"/>
  <c r="J171" i="18" s="1"/>
  <c r="I172" i="18"/>
  <c r="J172" i="18" s="1"/>
  <c r="I173" i="18"/>
  <c r="J173" i="18" s="1"/>
  <c r="I174" i="18"/>
  <c r="J174" i="18" s="1"/>
  <c r="I175" i="18"/>
  <c r="J175" i="18" s="1"/>
  <c r="I176" i="18"/>
  <c r="J176" i="18" s="1"/>
  <c r="I177" i="18"/>
  <c r="J177" i="18" s="1"/>
  <c r="I178" i="18"/>
  <c r="J178" i="18" s="1"/>
  <c r="I179" i="18"/>
  <c r="J179" i="18" s="1"/>
  <c r="I180" i="18"/>
  <c r="J180" i="18" s="1"/>
  <c r="I181" i="18"/>
  <c r="J181" i="18" s="1"/>
  <c r="I182" i="18"/>
  <c r="J182" i="18" s="1"/>
  <c r="I183" i="18"/>
  <c r="J183" i="18" s="1"/>
  <c r="I184" i="18"/>
  <c r="J184" i="18" s="1"/>
  <c r="I185" i="18"/>
  <c r="J185" i="18" s="1"/>
  <c r="I186" i="18"/>
  <c r="J186" i="18" s="1"/>
  <c r="I187" i="18"/>
  <c r="J187" i="18" s="1"/>
  <c r="I188" i="18"/>
  <c r="J188" i="18" s="1"/>
  <c r="I189" i="18"/>
  <c r="J189" i="18" s="1"/>
  <c r="I190" i="18"/>
  <c r="J190" i="18" s="1"/>
  <c r="I191" i="18"/>
  <c r="J191" i="18" s="1"/>
  <c r="I192" i="18"/>
  <c r="J192" i="18" s="1"/>
  <c r="I193" i="18"/>
  <c r="J193" i="18" s="1"/>
  <c r="I194" i="18"/>
  <c r="J194" i="18" s="1"/>
  <c r="I195" i="18"/>
  <c r="J195" i="18" s="1"/>
  <c r="I196" i="18"/>
  <c r="J196" i="18" s="1"/>
  <c r="I197" i="18"/>
  <c r="J197" i="18" s="1"/>
  <c r="I198" i="18"/>
  <c r="J198" i="18" s="1"/>
  <c r="I199" i="18"/>
  <c r="J199" i="18" s="1"/>
  <c r="I200" i="18"/>
  <c r="J200" i="18" s="1"/>
  <c r="I201" i="18"/>
  <c r="J201" i="18" s="1"/>
  <c r="I202" i="18"/>
  <c r="J202" i="18" s="1"/>
  <c r="I203" i="18"/>
  <c r="J203" i="18" s="1"/>
  <c r="I204" i="18"/>
  <c r="J204" i="18" s="1"/>
  <c r="I205" i="18"/>
  <c r="J205" i="18" s="1"/>
  <c r="I206" i="18"/>
  <c r="J206" i="18" s="1"/>
  <c r="I207" i="18"/>
  <c r="J207" i="18" s="1"/>
  <c r="I208" i="18"/>
  <c r="J208" i="18" s="1"/>
  <c r="I209" i="18"/>
  <c r="J209" i="18" s="1"/>
  <c r="I210" i="18"/>
  <c r="J210" i="18" s="1"/>
  <c r="I211" i="18"/>
  <c r="J211" i="18" s="1"/>
  <c r="I212" i="18"/>
  <c r="J212" i="18" s="1"/>
  <c r="I213" i="18"/>
  <c r="J213" i="18" s="1"/>
  <c r="I214" i="18"/>
  <c r="J214" i="18" s="1"/>
  <c r="I215" i="18"/>
  <c r="J215" i="18" s="1"/>
  <c r="I216" i="18"/>
  <c r="J216" i="18" s="1"/>
  <c r="I217" i="18"/>
  <c r="J217" i="18" s="1"/>
  <c r="I218" i="18"/>
  <c r="J218" i="18" s="1"/>
  <c r="I219" i="18"/>
  <c r="J219" i="18" s="1"/>
  <c r="I220" i="18"/>
  <c r="J220" i="18" s="1"/>
  <c r="I221" i="18"/>
  <c r="J221" i="18" s="1"/>
  <c r="I222" i="18"/>
  <c r="J222" i="18" s="1"/>
  <c r="I223" i="18"/>
  <c r="J223" i="18" s="1"/>
  <c r="I224" i="18"/>
  <c r="J224" i="18" s="1"/>
  <c r="I225" i="18"/>
  <c r="J225" i="18" s="1"/>
  <c r="I226" i="18"/>
  <c r="J226" i="18" s="1"/>
  <c r="I227" i="18"/>
  <c r="J227" i="18" s="1"/>
  <c r="I228" i="18"/>
  <c r="J228" i="18" s="1"/>
  <c r="I229" i="18"/>
  <c r="J229" i="18" s="1"/>
  <c r="I230" i="18"/>
  <c r="J230" i="18" s="1"/>
  <c r="I231" i="18"/>
  <c r="J231" i="18" s="1"/>
  <c r="I232" i="18"/>
  <c r="J232" i="18" s="1"/>
  <c r="I233" i="18"/>
  <c r="J233" i="18" s="1"/>
  <c r="I234" i="18"/>
  <c r="J234" i="18" s="1"/>
  <c r="I235" i="18"/>
  <c r="J235" i="18" s="1"/>
  <c r="I236" i="18"/>
  <c r="J236" i="18" s="1"/>
  <c r="I237" i="18"/>
  <c r="J237" i="18" s="1"/>
  <c r="I238" i="18"/>
  <c r="J238" i="18" s="1"/>
  <c r="I239" i="18"/>
  <c r="J239" i="18" s="1"/>
  <c r="I240" i="18"/>
  <c r="J240" i="18" s="1"/>
  <c r="I241" i="18"/>
  <c r="J241" i="18" s="1"/>
  <c r="I242" i="18"/>
  <c r="J242" i="18" s="1"/>
  <c r="I243" i="18"/>
  <c r="J243" i="18" s="1"/>
  <c r="I244" i="18"/>
  <c r="J244" i="18" s="1"/>
  <c r="I245" i="18"/>
  <c r="J245" i="18" s="1"/>
  <c r="I246" i="18"/>
  <c r="J246" i="18" s="1"/>
  <c r="I247" i="18"/>
  <c r="J247" i="18" s="1"/>
  <c r="I249" i="18"/>
  <c r="J249" i="18" s="1"/>
  <c r="I250" i="18"/>
  <c r="J250" i="18" s="1"/>
  <c r="I251" i="18"/>
  <c r="J251" i="18" s="1"/>
  <c r="I252" i="18"/>
  <c r="J252" i="18" s="1"/>
  <c r="I253" i="18"/>
  <c r="J253" i="18" s="1"/>
  <c r="I254" i="18"/>
  <c r="J254" i="18" s="1"/>
  <c r="I255" i="18"/>
  <c r="J255" i="18" s="1"/>
  <c r="I256" i="18"/>
  <c r="J256" i="18" s="1"/>
  <c r="I257" i="18"/>
  <c r="J257" i="18" s="1"/>
  <c r="I258" i="18"/>
  <c r="J258" i="18" s="1"/>
  <c r="I259" i="18"/>
  <c r="J259" i="18" s="1"/>
  <c r="I260" i="18"/>
  <c r="J260" i="18" s="1"/>
  <c r="I261" i="18"/>
  <c r="J261" i="18" s="1"/>
  <c r="I262" i="18"/>
  <c r="J262" i="18" s="1"/>
  <c r="I263" i="18"/>
  <c r="J263" i="18" s="1"/>
  <c r="I264" i="18"/>
  <c r="J264" i="18" s="1"/>
  <c r="I265" i="18"/>
  <c r="J265" i="18" s="1"/>
  <c r="I266" i="18"/>
  <c r="J266" i="18" s="1"/>
  <c r="I267" i="18"/>
  <c r="J267" i="18" s="1"/>
  <c r="I268" i="18"/>
  <c r="J268" i="18" s="1"/>
  <c r="I269" i="18"/>
  <c r="J269" i="18" s="1"/>
  <c r="I270" i="18"/>
  <c r="J270" i="18" s="1"/>
  <c r="I271" i="18"/>
  <c r="J271" i="18" s="1"/>
  <c r="I272" i="18"/>
  <c r="J272" i="18" s="1"/>
  <c r="I273" i="18"/>
  <c r="J273" i="18" s="1"/>
  <c r="I274" i="18"/>
  <c r="J274" i="18" s="1"/>
  <c r="I275" i="18"/>
  <c r="J275" i="18" s="1"/>
  <c r="I276" i="18"/>
  <c r="J276" i="18" s="1"/>
  <c r="I277" i="18"/>
  <c r="J277" i="18" s="1"/>
  <c r="I278" i="18"/>
  <c r="J278" i="18" s="1"/>
  <c r="I279" i="18"/>
  <c r="J279" i="18" s="1"/>
  <c r="I280" i="18"/>
  <c r="J280" i="18" s="1"/>
  <c r="I281" i="18"/>
  <c r="J281" i="18" s="1"/>
  <c r="I282" i="18"/>
  <c r="J282" i="18" s="1"/>
  <c r="I283" i="18"/>
  <c r="J283" i="18" s="1"/>
  <c r="I284" i="18"/>
  <c r="J284" i="18" s="1"/>
  <c r="I285" i="18"/>
  <c r="J285" i="18" s="1"/>
  <c r="I286" i="18"/>
  <c r="J286" i="18" s="1"/>
  <c r="I287" i="18"/>
  <c r="J287" i="18" s="1"/>
  <c r="I288" i="18"/>
  <c r="J288" i="18" s="1"/>
  <c r="I289" i="18"/>
  <c r="J289" i="18" s="1"/>
  <c r="I290" i="18"/>
  <c r="J290" i="18" s="1"/>
  <c r="I291" i="18"/>
  <c r="J291" i="18" s="1"/>
  <c r="I292" i="18"/>
  <c r="J292" i="18" s="1"/>
  <c r="I293" i="18"/>
  <c r="J293" i="18" s="1"/>
  <c r="I294" i="18"/>
  <c r="J294" i="18" s="1"/>
  <c r="I295" i="18"/>
  <c r="J295" i="18" s="1"/>
  <c r="I296" i="18"/>
  <c r="J296" i="18" s="1"/>
  <c r="I297" i="18"/>
  <c r="J297" i="18" s="1"/>
  <c r="I298" i="18"/>
  <c r="J298" i="18" s="1"/>
  <c r="I299" i="18"/>
  <c r="J299" i="18" s="1"/>
  <c r="I300" i="18"/>
  <c r="J300" i="18" s="1"/>
  <c r="I301" i="18"/>
  <c r="J301" i="18" s="1"/>
  <c r="I302" i="18"/>
  <c r="J302" i="18" s="1"/>
  <c r="I303" i="18"/>
  <c r="J303" i="18" s="1"/>
  <c r="I304" i="18"/>
  <c r="J304" i="18" s="1"/>
  <c r="I305" i="18"/>
  <c r="J305" i="18" s="1"/>
  <c r="I306" i="18"/>
  <c r="J306" i="18" s="1"/>
  <c r="I307" i="18"/>
  <c r="J307" i="18" s="1"/>
  <c r="I308" i="18"/>
  <c r="J308" i="18" s="1"/>
  <c r="I309" i="18"/>
  <c r="J309" i="18" s="1"/>
  <c r="I310" i="18"/>
  <c r="J310" i="18" s="1"/>
  <c r="I311" i="18"/>
  <c r="J311" i="18" s="1"/>
  <c r="I312" i="18"/>
  <c r="J312" i="18" s="1"/>
  <c r="I313" i="18"/>
  <c r="J313" i="18" s="1"/>
  <c r="I314" i="18"/>
  <c r="J314" i="18" s="1"/>
  <c r="I315" i="18"/>
  <c r="J315" i="18" s="1"/>
  <c r="I2" i="18"/>
  <c r="J2" i="18" s="1"/>
  <c r="K10" i="17"/>
  <c r="K14" i="17"/>
  <c r="K18" i="17"/>
  <c r="K26" i="17"/>
  <c r="K30" i="17"/>
  <c r="K32" i="17"/>
  <c r="K36" i="17"/>
  <c r="K40" i="17"/>
  <c r="K44" i="17"/>
  <c r="K48" i="17"/>
  <c r="K52" i="17"/>
  <c r="K56" i="17"/>
  <c r="K60" i="17"/>
  <c r="K64" i="17"/>
  <c r="K68" i="17"/>
  <c r="K72" i="17"/>
  <c r="K76" i="17"/>
  <c r="K80" i="17"/>
  <c r="K84" i="17"/>
  <c r="K88" i="17"/>
  <c r="K92" i="17"/>
  <c r="K96" i="17"/>
  <c r="K100" i="17"/>
  <c r="K104" i="17"/>
  <c r="K108" i="17"/>
  <c r="K112" i="17"/>
  <c r="K116" i="17"/>
  <c r="K120" i="17"/>
  <c r="K124" i="17"/>
  <c r="K128" i="17"/>
  <c r="K132" i="17"/>
  <c r="K136" i="17"/>
  <c r="K140" i="17"/>
  <c r="K144" i="17"/>
  <c r="K148" i="17"/>
  <c r="K152" i="17"/>
  <c r="K156" i="17"/>
  <c r="K160" i="17"/>
  <c r="K164" i="17"/>
  <c r="K168" i="17"/>
  <c r="K172" i="17"/>
  <c r="K176" i="17"/>
  <c r="K180" i="17"/>
  <c r="K184" i="17"/>
  <c r="K188" i="17"/>
  <c r="K192" i="17"/>
  <c r="K196" i="17"/>
  <c r="K200" i="17"/>
  <c r="K204" i="17"/>
  <c r="K208" i="17"/>
  <c r="K212" i="17"/>
  <c r="K216" i="17"/>
  <c r="K220" i="17"/>
  <c r="K224" i="17"/>
  <c r="K228" i="17"/>
  <c r="K232" i="17"/>
  <c r="K236" i="17"/>
  <c r="K240" i="17"/>
  <c r="K244" i="17"/>
  <c r="K248" i="17"/>
  <c r="K252" i="17"/>
  <c r="K256" i="17"/>
  <c r="K260" i="17"/>
  <c r="K264" i="17"/>
  <c r="K268" i="17"/>
  <c r="K272" i="17"/>
  <c r="K276" i="17"/>
  <c r="K280" i="17"/>
  <c r="K284" i="17"/>
  <c r="K288" i="17"/>
  <c r="K292" i="17"/>
  <c r="K296" i="17"/>
  <c r="K300" i="17"/>
  <c r="K304" i="17"/>
  <c r="K312" i="17"/>
  <c r="K3" i="17"/>
  <c r="K4" i="17"/>
  <c r="K5" i="17"/>
  <c r="K6" i="17"/>
  <c r="K7" i="17"/>
  <c r="K8" i="17"/>
  <c r="K9" i="17"/>
  <c r="K11" i="17"/>
  <c r="K12" i="17"/>
  <c r="K13" i="17"/>
  <c r="K15" i="17"/>
  <c r="K16" i="17"/>
  <c r="K17" i="17"/>
  <c r="K19" i="17"/>
  <c r="K20" i="17"/>
  <c r="K21" i="17"/>
  <c r="K22" i="17"/>
  <c r="K23" i="17"/>
  <c r="K24" i="17"/>
  <c r="K25" i="17"/>
  <c r="K27" i="17"/>
  <c r="K28" i="17"/>
  <c r="K29" i="17"/>
  <c r="K31" i="17"/>
  <c r="K33" i="17"/>
  <c r="K34" i="17"/>
  <c r="K35" i="17"/>
  <c r="K37" i="17"/>
  <c r="K38" i="17"/>
  <c r="K39" i="17"/>
  <c r="K41" i="17"/>
  <c r="K42" i="17"/>
  <c r="K43" i="17"/>
  <c r="K45" i="17"/>
  <c r="K46" i="17"/>
  <c r="K47" i="17"/>
  <c r="K49" i="17"/>
  <c r="K50" i="17"/>
  <c r="K51" i="17"/>
  <c r="K53" i="17"/>
  <c r="K54" i="17"/>
  <c r="K55" i="17"/>
  <c r="K57" i="17"/>
  <c r="K58" i="17"/>
  <c r="K59" i="17"/>
  <c r="K61" i="17"/>
  <c r="K62" i="17"/>
  <c r="K63" i="17"/>
  <c r="K65" i="17"/>
  <c r="K66" i="17"/>
  <c r="K67" i="17"/>
  <c r="K69" i="17"/>
  <c r="K70" i="17"/>
  <c r="K71" i="17"/>
  <c r="K73" i="17"/>
  <c r="K74" i="17"/>
  <c r="K75" i="17"/>
  <c r="K77" i="17"/>
  <c r="K78" i="17"/>
  <c r="K79" i="17"/>
  <c r="K81" i="17"/>
  <c r="K82" i="17"/>
  <c r="K83" i="17"/>
  <c r="K85" i="17"/>
  <c r="K86" i="17"/>
  <c r="K87" i="17"/>
  <c r="K89" i="17"/>
  <c r="K90" i="17"/>
  <c r="K91" i="17"/>
  <c r="K93" i="17"/>
  <c r="K94" i="17"/>
  <c r="K95" i="17"/>
  <c r="K97" i="17"/>
  <c r="K98" i="17"/>
  <c r="K99" i="17"/>
  <c r="K101" i="17"/>
  <c r="K102" i="17"/>
  <c r="K103" i="17"/>
  <c r="K105" i="17"/>
  <c r="K106" i="17"/>
  <c r="K107" i="17"/>
  <c r="K109" i="17"/>
  <c r="K110" i="17"/>
  <c r="K111" i="17"/>
  <c r="K113" i="17"/>
  <c r="K114" i="17"/>
  <c r="K115" i="17"/>
  <c r="K117" i="17"/>
  <c r="K118" i="17"/>
  <c r="K119" i="17"/>
  <c r="K121" i="17"/>
  <c r="K122" i="17"/>
  <c r="K123" i="17"/>
  <c r="K125" i="17"/>
  <c r="K126" i="17"/>
  <c r="K127" i="17"/>
  <c r="K129" i="17"/>
  <c r="K130" i="17"/>
  <c r="K131" i="17"/>
  <c r="K133" i="17"/>
  <c r="K134" i="17"/>
  <c r="K135" i="17"/>
  <c r="K137" i="17"/>
  <c r="K138" i="17"/>
  <c r="K139" i="17"/>
  <c r="K141" i="17"/>
  <c r="K142" i="17"/>
  <c r="K143" i="17"/>
  <c r="K145" i="17"/>
  <c r="K146" i="17"/>
  <c r="K147" i="17"/>
  <c r="K149" i="17"/>
  <c r="K150" i="17"/>
  <c r="K151" i="17"/>
  <c r="K153" i="17"/>
  <c r="K154" i="17"/>
  <c r="K155" i="17"/>
  <c r="K157" i="17"/>
  <c r="K158" i="17"/>
  <c r="K159" i="17"/>
  <c r="K161" i="17"/>
  <c r="K162" i="17"/>
  <c r="K163" i="17"/>
  <c r="K165" i="17"/>
  <c r="K166" i="17"/>
  <c r="K167" i="17"/>
  <c r="K169" i="17"/>
  <c r="K170" i="17"/>
  <c r="K171" i="17"/>
  <c r="K173" i="17"/>
  <c r="K174" i="17"/>
  <c r="K175" i="17"/>
  <c r="K177" i="17"/>
  <c r="K178" i="17"/>
  <c r="K179" i="17"/>
  <c r="K181" i="17"/>
  <c r="K182" i="17"/>
  <c r="K183" i="17"/>
  <c r="K185" i="17"/>
  <c r="K186" i="17"/>
  <c r="K187" i="17"/>
  <c r="K189" i="17"/>
  <c r="K190" i="17"/>
  <c r="K191" i="17"/>
  <c r="K193" i="17"/>
  <c r="K194" i="17"/>
  <c r="K195" i="17"/>
  <c r="K197" i="17"/>
  <c r="K198" i="17"/>
  <c r="K199" i="17"/>
  <c r="K201" i="17"/>
  <c r="K202" i="17"/>
  <c r="K203" i="17"/>
  <c r="K205" i="17"/>
  <c r="K206" i="17"/>
  <c r="K207" i="17"/>
  <c r="K209" i="17"/>
  <c r="K210" i="17"/>
  <c r="K211" i="17"/>
  <c r="K213" i="17"/>
  <c r="K214" i="17"/>
  <c r="K215" i="17"/>
  <c r="K217" i="17"/>
  <c r="K218" i="17"/>
  <c r="K219" i="17"/>
  <c r="K221" i="17"/>
  <c r="K222" i="17"/>
  <c r="K223" i="17"/>
  <c r="K225" i="17"/>
  <c r="K226" i="17"/>
  <c r="K227" i="17"/>
  <c r="K229" i="17"/>
  <c r="K230" i="17"/>
  <c r="K231" i="17"/>
  <c r="K233" i="17"/>
  <c r="K234" i="17"/>
  <c r="K235" i="17"/>
  <c r="K237" i="17"/>
  <c r="K238" i="17"/>
  <c r="K239" i="17"/>
  <c r="K241" i="17"/>
  <c r="K242" i="17"/>
  <c r="K243" i="17"/>
  <c r="K245" i="17"/>
  <c r="K246" i="17"/>
  <c r="K247" i="17"/>
  <c r="K249" i="17"/>
  <c r="K250" i="17"/>
  <c r="K251" i="17"/>
  <c r="K253" i="17"/>
  <c r="K254" i="17"/>
  <c r="K255" i="17"/>
  <c r="K257" i="17"/>
  <c r="K258" i="17"/>
  <c r="K259" i="17"/>
  <c r="K261" i="17"/>
  <c r="K262" i="17"/>
  <c r="K263" i="17"/>
  <c r="K265" i="17"/>
  <c r="K266" i="17"/>
  <c r="K267" i="17"/>
  <c r="K269" i="17"/>
  <c r="K270" i="17"/>
  <c r="K271" i="17"/>
  <c r="K273" i="17"/>
  <c r="K274" i="17"/>
  <c r="K275" i="17"/>
  <c r="K277" i="17"/>
  <c r="K278" i="17"/>
  <c r="K279" i="17"/>
  <c r="K281" i="17"/>
  <c r="K282" i="17"/>
  <c r="K283" i="17"/>
  <c r="K285" i="17"/>
  <c r="K286" i="17"/>
  <c r="K287" i="17"/>
  <c r="K289" i="17"/>
  <c r="K290" i="17"/>
  <c r="K291" i="17"/>
  <c r="K293" i="17"/>
  <c r="K294" i="17"/>
  <c r="K295" i="17"/>
  <c r="K297" i="17"/>
  <c r="K298" i="17"/>
  <c r="K299" i="17"/>
  <c r="K301" i="17"/>
  <c r="K302" i="17"/>
  <c r="K303" i="17"/>
  <c r="K305" i="17"/>
  <c r="K306" i="17"/>
  <c r="K307" i="17"/>
  <c r="K308" i="17"/>
  <c r="K309" i="17"/>
  <c r="K310" i="17"/>
  <c r="K311" i="17"/>
  <c r="K313" i="17"/>
  <c r="K2" i="17"/>
  <c r="D133" i="22" l="1"/>
  <c r="B130" i="9"/>
  <c r="A3" i="9"/>
  <c r="B3" i="9"/>
  <c r="A4" i="9"/>
  <c r="B4" i="9"/>
  <c r="A5" i="9"/>
  <c r="B5" i="9"/>
  <c r="A6" i="9"/>
  <c r="B6" i="9"/>
  <c r="A7" i="9"/>
  <c r="B7" i="9"/>
  <c r="A8" i="9"/>
  <c r="B8" i="9"/>
  <c r="A9" i="9"/>
  <c r="B9" i="9"/>
  <c r="A10" i="9"/>
  <c r="B10" i="9"/>
  <c r="A11" i="9"/>
  <c r="B11" i="9"/>
  <c r="A12" i="9"/>
  <c r="B12" i="9"/>
  <c r="A13" i="9"/>
  <c r="B13" i="9"/>
  <c r="A14" i="9"/>
  <c r="B14" i="9"/>
  <c r="A15" i="9"/>
  <c r="B15" i="9"/>
  <c r="A16" i="9"/>
  <c r="B16" i="9"/>
  <c r="A17" i="9"/>
  <c r="B17" i="9"/>
  <c r="A18" i="9"/>
  <c r="B18" i="9"/>
  <c r="A19" i="9"/>
  <c r="B19" i="9"/>
  <c r="A20" i="9"/>
  <c r="B20" i="9"/>
  <c r="A21" i="9"/>
  <c r="B21" i="9"/>
  <c r="A22" i="9"/>
  <c r="B22" i="9"/>
  <c r="A23" i="9"/>
  <c r="B23" i="9"/>
  <c r="A24" i="9"/>
  <c r="B24" i="9"/>
  <c r="A25" i="9"/>
  <c r="B25" i="9"/>
  <c r="A26" i="9"/>
  <c r="B26" i="9"/>
  <c r="A27" i="9"/>
  <c r="B27" i="9"/>
  <c r="A28" i="9"/>
  <c r="B28" i="9"/>
  <c r="A29" i="9"/>
  <c r="B29" i="9"/>
  <c r="A30" i="9"/>
  <c r="B30" i="9"/>
  <c r="A31" i="9"/>
  <c r="B31" i="9"/>
  <c r="A32" i="9"/>
  <c r="B32" i="9"/>
  <c r="A33" i="9"/>
  <c r="B33" i="9"/>
  <c r="A34" i="9"/>
  <c r="B34" i="9"/>
  <c r="A35" i="9"/>
  <c r="B35" i="9"/>
  <c r="A36" i="9"/>
  <c r="B36" i="9"/>
  <c r="A37" i="9"/>
  <c r="B37" i="9"/>
  <c r="A38" i="9"/>
  <c r="B38" i="9"/>
  <c r="A39" i="9"/>
  <c r="B39" i="9"/>
  <c r="A40" i="9"/>
  <c r="B40" i="9"/>
  <c r="A41" i="9"/>
  <c r="B41" i="9"/>
  <c r="A42" i="9"/>
  <c r="B42" i="9"/>
  <c r="A43" i="9"/>
  <c r="B43" i="9"/>
  <c r="A44" i="9"/>
  <c r="B44" i="9"/>
  <c r="A45" i="9"/>
  <c r="B45" i="9"/>
  <c r="A46" i="9"/>
  <c r="B46" i="9"/>
  <c r="A47" i="9"/>
  <c r="B47" i="9"/>
  <c r="A48" i="9"/>
  <c r="B48" i="9"/>
  <c r="A49" i="9"/>
  <c r="B49" i="9"/>
  <c r="A50" i="9"/>
  <c r="B50" i="9"/>
  <c r="A51" i="9"/>
  <c r="B51" i="9"/>
  <c r="A52" i="9"/>
  <c r="B52" i="9"/>
  <c r="A53" i="9"/>
  <c r="B53" i="9"/>
  <c r="A54" i="9"/>
  <c r="B54" i="9"/>
  <c r="A55" i="9"/>
  <c r="B55" i="9"/>
  <c r="A56" i="9"/>
  <c r="B56" i="9"/>
  <c r="A57" i="9"/>
  <c r="B57" i="9"/>
  <c r="A58" i="9"/>
  <c r="B58" i="9"/>
  <c r="A59" i="9"/>
  <c r="B59" i="9"/>
  <c r="A60" i="9"/>
  <c r="B60" i="9"/>
  <c r="A61" i="9"/>
  <c r="B61" i="9"/>
  <c r="A62" i="9"/>
  <c r="B62" i="9"/>
  <c r="A63" i="9"/>
  <c r="B63" i="9"/>
  <c r="A64" i="9"/>
  <c r="B64" i="9"/>
  <c r="A65" i="9"/>
  <c r="B65" i="9"/>
  <c r="A66" i="9"/>
  <c r="B66" i="9"/>
  <c r="A67" i="9"/>
  <c r="B67" i="9"/>
  <c r="A68" i="9"/>
  <c r="B68" i="9"/>
  <c r="A69" i="9"/>
  <c r="B69" i="9"/>
  <c r="A70" i="9"/>
  <c r="B70" i="9"/>
  <c r="A71" i="9"/>
  <c r="B71" i="9"/>
  <c r="A72" i="9"/>
  <c r="B72" i="9"/>
  <c r="A73" i="9"/>
  <c r="B73" i="9"/>
  <c r="A74" i="9"/>
  <c r="B74" i="9"/>
  <c r="A75" i="9"/>
  <c r="B75" i="9"/>
  <c r="A76" i="9"/>
  <c r="B76" i="9"/>
  <c r="A77" i="9"/>
  <c r="B77" i="9"/>
  <c r="A78" i="9"/>
  <c r="B78" i="9"/>
  <c r="A79" i="9"/>
  <c r="B79" i="9"/>
  <c r="A80" i="9"/>
  <c r="B80" i="9"/>
  <c r="A81" i="9"/>
  <c r="B81" i="9"/>
  <c r="A82" i="9"/>
  <c r="B82" i="9"/>
  <c r="A83" i="9"/>
  <c r="B83" i="9"/>
  <c r="A84" i="9"/>
  <c r="B84" i="9"/>
  <c r="A85" i="9"/>
  <c r="B85" i="9"/>
  <c r="A86" i="9"/>
  <c r="B86" i="9"/>
  <c r="A87" i="9"/>
  <c r="B87" i="9"/>
  <c r="A88" i="9"/>
  <c r="B88" i="9"/>
  <c r="A89" i="9"/>
  <c r="B89" i="9"/>
  <c r="A90" i="9"/>
  <c r="B90" i="9"/>
  <c r="A91" i="9"/>
  <c r="B91" i="9"/>
  <c r="A92" i="9"/>
  <c r="B92" i="9"/>
  <c r="A93" i="9"/>
  <c r="B93" i="9"/>
  <c r="A94" i="9"/>
  <c r="B94" i="9"/>
  <c r="A95" i="9"/>
  <c r="B95" i="9"/>
  <c r="A96" i="9"/>
  <c r="B96" i="9"/>
  <c r="A97" i="9"/>
  <c r="B97" i="9"/>
  <c r="A98" i="9"/>
  <c r="B98" i="9"/>
  <c r="A99" i="9"/>
  <c r="B99" i="9"/>
  <c r="A100" i="9"/>
  <c r="B100" i="9"/>
  <c r="A101" i="9"/>
  <c r="B101" i="9"/>
  <c r="A102" i="9"/>
  <c r="B102" i="9"/>
  <c r="A103" i="9"/>
  <c r="B103" i="9"/>
  <c r="A104" i="9"/>
  <c r="B104" i="9"/>
  <c r="A105" i="9"/>
  <c r="B105" i="9"/>
  <c r="A106" i="9"/>
  <c r="B106" i="9"/>
  <c r="A107" i="9"/>
  <c r="B107" i="9"/>
  <c r="A108" i="9"/>
  <c r="B108" i="9"/>
  <c r="A109" i="9"/>
  <c r="B109" i="9"/>
  <c r="A110" i="9"/>
  <c r="B110" i="9"/>
  <c r="A111" i="9"/>
  <c r="B111" i="9"/>
  <c r="A112" i="9"/>
  <c r="B112" i="9"/>
  <c r="A113" i="9"/>
  <c r="B113" i="9"/>
  <c r="A114" i="9"/>
  <c r="B114" i="9"/>
  <c r="A115" i="9"/>
  <c r="B115" i="9"/>
  <c r="A116" i="9"/>
  <c r="B116" i="9"/>
  <c r="A117" i="9"/>
  <c r="B117" i="9"/>
  <c r="A118" i="9"/>
  <c r="B118" i="9"/>
  <c r="A119" i="9"/>
  <c r="B119" i="9"/>
  <c r="A120" i="9"/>
  <c r="B120" i="9"/>
  <c r="A121" i="9"/>
  <c r="B121" i="9"/>
  <c r="A122" i="9"/>
  <c r="B122" i="9"/>
  <c r="A123" i="9"/>
  <c r="B123" i="9"/>
  <c r="A124" i="9"/>
  <c r="B124" i="9"/>
  <c r="A125" i="9"/>
  <c r="B125" i="9"/>
  <c r="A126" i="9"/>
  <c r="B126" i="9"/>
  <c r="A127" i="9"/>
  <c r="B127" i="9"/>
  <c r="A128" i="9"/>
  <c r="B128" i="9"/>
  <c r="A129" i="9"/>
  <c r="B129" i="9"/>
  <c r="A130" i="9"/>
  <c r="A131" i="9"/>
  <c r="B131" i="9"/>
  <c r="A132" i="9"/>
  <c r="B132" i="9"/>
  <c r="A133" i="9"/>
  <c r="B133" i="9"/>
  <c r="A134" i="9"/>
  <c r="B134" i="9"/>
  <c r="A135" i="9"/>
  <c r="B135" i="9"/>
  <c r="A136" i="9"/>
  <c r="B136" i="9"/>
  <c r="A137" i="9"/>
  <c r="B137" i="9"/>
  <c r="A138" i="9"/>
  <c r="B138" i="9"/>
  <c r="A139" i="9"/>
  <c r="B139" i="9"/>
  <c r="A140" i="9"/>
  <c r="B140" i="9"/>
  <c r="A141" i="9"/>
  <c r="B141" i="9"/>
  <c r="A142" i="9"/>
  <c r="B142" i="9"/>
  <c r="A143" i="9"/>
  <c r="B143" i="9"/>
  <c r="A144" i="9"/>
  <c r="B144" i="9"/>
  <c r="A145" i="9"/>
  <c r="B145" i="9"/>
  <c r="A146" i="9"/>
  <c r="B146" i="9"/>
  <c r="A147" i="9"/>
  <c r="B147" i="9"/>
  <c r="A148" i="9"/>
  <c r="B148" i="9"/>
  <c r="A149" i="9"/>
  <c r="B149" i="9"/>
  <c r="A150" i="9"/>
  <c r="B150" i="9"/>
  <c r="A151" i="9"/>
  <c r="B151" i="9"/>
  <c r="A152" i="9"/>
  <c r="B152" i="9"/>
  <c r="A153" i="9"/>
  <c r="B153" i="9"/>
  <c r="A154" i="9"/>
  <c r="B154" i="9"/>
  <c r="A155" i="9"/>
  <c r="B155" i="9"/>
  <c r="A156" i="9"/>
  <c r="B156" i="9"/>
  <c r="A157" i="9"/>
  <c r="B157" i="9"/>
  <c r="A158" i="9"/>
  <c r="B158" i="9"/>
  <c r="A159" i="9"/>
  <c r="B159" i="9"/>
  <c r="A160" i="9"/>
  <c r="B160" i="9"/>
  <c r="A161" i="9"/>
  <c r="B161" i="9"/>
  <c r="A162" i="9"/>
  <c r="B162" i="9"/>
  <c r="A163" i="9"/>
  <c r="B163" i="9"/>
  <c r="A164" i="9"/>
  <c r="B164" i="9"/>
  <c r="A165" i="9"/>
  <c r="B165" i="9"/>
  <c r="A166" i="9"/>
  <c r="B166" i="9"/>
  <c r="A167" i="9"/>
  <c r="B167" i="9"/>
  <c r="A168" i="9"/>
  <c r="B168" i="9"/>
  <c r="A169" i="9"/>
  <c r="B169" i="9"/>
  <c r="A170" i="9"/>
  <c r="B170" i="9"/>
  <c r="A171" i="9"/>
  <c r="B171" i="9"/>
  <c r="A172" i="9"/>
  <c r="B172" i="9"/>
  <c r="A173" i="9"/>
  <c r="B173" i="9"/>
  <c r="A174" i="9"/>
  <c r="B174" i="9"/>
  <c r="A175" i="9"/>
  <c r="B175" i="9"/>
  <c r="A176" i="9"/>
  <c r="B176" i="9"/>
  <c r="A177" i="9"/>
  <c r="B177" i="9"/>
  <c r="A178" i="9"/>
  <c r="B178" i="9"/>
  <c r="A179" i="9"/>
  <c r="B179" i="9"/>
  <c r="A180" i="9"/>
  <c r="B180" i="9"/>
  <c r="A181" i="9"/>
  <c r="B181" i="9"/>
  <c r="A182" i="9"/>
  <c r="B182" i="9"/>
  <c r="A183" i="9"/>
  <c r="B183" i="9"/>
  <c r="A184" i="9"/>
  <c r="B184" i="9"/>
  <c r="A185" i="9"/>
  <c r="B185" i="9"/>
  <c r="A186" i="9"/>
  <c r="B186" i="9"/>
  <c r="A187" i="9"/>
  <c r="B187" i="9"/>
  <c r="A188" i="9"/>
  <c r="B188" i="9"/>
  <c r="A189" i="9"/>
  <c r="B189" i="9"/>
  <c r="A190" i="9"/>
  <c r="B190" i="9"/>
  <c r="A191" i="9"/>
  <c r="B191" i="9"/>
  <c r="A192" i="9"/>
  <c r="B192" i="9"/>
  <c r="A193" i="9"/>
  <c r="B193" i="9"/>
  <c r="A194" i="9"/>
  <c r="B194" i="9"/>
  <c r="A195" i="9"/>
  <c r="B195" i="9"/>
  <c r="A196" i="9"/>
  <c r="B196" i="9"/>
  <c r="A197" i="9"/>
  <c r="B197" i="9"/>
  <c r="A198" i="9"/>
  <c r="B198" i="9"/>
  <c r="A199" i="9"/>
  <c r="B199" i="9"/>
  <c r="A200" i="9"/>
  <c r="B200" i="9"/>
  <c r="A201" i="9"/>
  <c r="B201" i="9"/>
  <c r="A202" i="9"/>
  <c r="B202" i="9"/>
  <c r="A203" i="9"/>
  <c r="B203" i="9"/>
  <c r="A204" i="9"/>
  <c r="B204" i="9"/>
  <c r="A205" i="9"/>
  <c r="B205" i="9"/>
  <c r="A206" i="9"/>
  <c r="B206" i="9"/>
  <c r="A207" i="9"/>
  <c r="B207" i="9"/>
  <c r="A208" i="9"/>
  <c r="B208" i="9"/>
  <c r="A209" i="9"/>
  <c r="B209" i="9"/>
  <c r="A210" i="9"/>
  <c r="B210" i="9"/>
  <c r="A211" i="9"/>
  <c r="B211" i="9"/>
  <c r="A212" i="9"/>
  <c r="B212" i="9"/>
  <c r="A213" i="9"/>
  <c r="B213" i="9"/>
  <c r="A214" i="9"/>
  <c r="B214" i="9"/>
  <c r="A215" i="9"/>
  <c r="B215" i="9"/>
  <c r="A216" i="9"/>
  <c r="B216" i="9"/>
  <c r="A217" i="9"/>
  <c r="B217" i="9"/>
  <c r="A218" i="9"/>
  <c r="B218" i="9"/>
  <c r="A219" i="9"/>
  <c r="B219" i="9"/>
  <c r="A220" i="9"/>
  <c r="B220" i="9"/>
  <c r="A221" i="9"/>
  <c r="B221" i="9"/>
  <c r="A222" i="9"/>
  <c r="B222" i="9"/>
  <c r="A223" i="9"/>
  <c r="B223" i="9"/>
  <c r="A224" i="9"/>
  <c r="B224" i="9"/>
  <c r="A225" i="9"/>
  <c r="B225" i="9"/>
  <c r="A226" i="9"/>
  <c r="B226" i="9"/>
  <c r="A227" i="9"/>
  <c r="B227" i="9"/>
  <c r="A228" i="9"/>
  <c r="B228" i="9"/>
  <c r="A229" i="9"/>
  <c r="B229" i="9"/>
  <c r="A230" i="9"/>
  <c r="B230" i="9"/>
  <c r="A231" i="9"/>
  <c r="B231" i="9"/>
  <c r="A232" i="9"/>
  <c r="B232" i="9"/>
  <c r="A233" i="9"/>
  <c r="B233" i="9"/>
  <c r="A234" i="9"/>
  <c r="B234" i="9"/>
  <c r="A235" i="9"/>
  <c r="B235" i="9"/>
  <c r="A236" i="9"/>
  <c r="B236" i="9"/>
  <c r="A237" i="9"/>
  <c r="B237" i="9"/>
  <c r="A238" i="9"/>
  <c r="B238" i="9"/>
  <c r="A239" i="9"/>
  <c r="B239" i="9"/>
  <c r="A240" i="9"/>
  <c r="B240" i="9"/>
  <c r="A241" i="9"/>
  <c r="B241" i="9"/>
  <c r="A242" i="9"/>
  <c r="B242" i="9"/>
  <c r="A243" i="9"/>
  <c r="B243" i="9"/>
  <c r="A244" i="9"/>
  <c r="B244" i="9"/>
  <c r="A245" i="9"/>
  <c r="B245" i="9"/>
  <c r="A246" i="9"/>
  <c r="B246" i="9"/>
  <c r="A247" i="9"/>
  <c r="B247" i="9"/>
  <c r="A248" i="9"/>
  <c r="B248" i="9"/>
  <c r="A249" i="9"/>
  <c r="B249" i="9"/>
  <c r="A250" i="9"/>
  <c r="B250" i="9"/>
  <c r="A251" i="9"/>
  <c r="B251" i="9"/>
  <c r="A252" i="9"/>
  <c r="B252" i="9"/>
  <c r="A253" i="9"/>
  <c r="B253" i="9"/>
  <c r="A254" i="9"/>
  <c r="B254" i="9"/>
  <c r="A255" i="9"/>
  <c r="B255" i="9"/>
  <c r="A256" i="9"/>
  <c r="B256" i="9"/>
  <c r="A257" i="9"/>
  <c r="B257" i="9"/>
  <c r="A258" i="9"/>
  <c r="B258" i="9"/>
  <c r="A259" i="9"/>
  <c r="B259" i="9"/>
  <c r="A260" i="9"/>
  <c r="B260" i="9"/>
  <c r="A261" i="9"/>
  <c r="B261" i="9"/>
  <c r="A262" i="9"/>
  <c r="B262" i="9"/>
  <c r="A263" i="9"/>
  <c r="B263" i="9"/>
  <c r="A264" i="9"/>
  <c r="B264" i="9"/>
  <c r="A265" i="9"/>
  <c r="B265" i="9"/>
  <c r="A266" i="9"/>
  <c r="B266" i="9"/>
  <c r="A267" i="9"/>
  <c r="B267" i="9"/>
  <c r="A268" i="9"/>
  <c r="B268" i="9"/>
  <c r="A269" i="9"/>
  <c r="B269" i="9"/>
  <c r="A270" i="9"/>
  <c r="B270" i="9"/>
  <c r="A271" i="9"/>
  <c r="B271" i="9"/>
  <c r="A272" i="9"/>
  <c r="B272" i="9"/>
  <c r="A273" i="9"/>
  <c r="B273" i="9"/>
  <c r="A274" i="9"/>
  <c r="B274" i="9"/>
  <c r="A275" i="9"/>
  <c r="B275" i="9"/>
  <c r="A276" i="9"/>
  <c r="B276" i="9"/>
  <c r="A277" i="9"/>
  <c r="B277" i="9"/>
  <c r="A278" i="9"/>
  <c r="B278" i="9"/>
  <c r="A279" i="9"/>
  <c r="B279" i="9"/>
  <c r="A280" i="9"/>
  <c r="B280" i="9"/>
  <c r="A281" i="9"/>
  <c r="B281" i="9"/>
  <c r="A282" i="9"/>
  <c r="B282" i="9"/>
  <c r="A283" i="9"/>
  <c r="B283" i="9"/>
  <c r="A284" i="9"/>
  <c r="B284" i="9"/>
  <c r="A285" i="9"/>
  <c r="B285" i="9"/>
  <c r="A286" i="9"/>
  <c r="B286" i="9"/>
  <c r="A287" i="9"/>
  <c r="B287" i="9"/>
  <c r="A288" i="9"/>
  <c r="B288" i="9"/>
  <c r="A289" i="9"/>
  <c r="B289" i="9"/>
  <c r="A290" i="9"/>
  <c r="B290" i="9"/>
  <c r="A291" i="9"/>
  <c r="B291" i="9"/>
  <c r="A292" i="9"/>
  <c r="B292" i="9"/>
  <c r="A293" i="9"/>
  <c r="B293" i="9"/>
  <c r="A294" i="9"/>
  <c r="B294" i="9"/>
  <c r="A295" i="9"/>
  <c r="B295" i="9"/>
  <c r="A296" i="9"/>
  <c r="B296" i="9"/>
  <c r="A297" i="9"/>
  <c r="B297" i="9"/>
  <c r="A298" i="9"/>
  <c r="B298" i="9"/>
  <c r="A299" i="9"/>
  <c r="B299" i="9"/>
  <c r="A300" i="9"/>
  <c r="B300" i="9"/>
  <c r="A301" i="9"/>
  <c r="B301" i="9"/>
  <c r="A302" i="9"/>
  <c r="B302" i="9"/>
  <c r="A303" i="9"/>
  <c r="B303" i="9"/>
  <c r="A304" i="9"/>
  <c r="B304" i="9"/>
  <c r="A305" i="9"/>
  <c r="B305" i="9"/>
  <c r="A306" i="9"/>
  <c r="B306" i="9"/>
  <c r="A307" i="9"/>
  <c r="B307" i="9"/>
  <c r="A308" i="9"/>
  <c r="B308" i="9"/>
  <c r="A309" i="9"/>
  <c r="B309" i="9"/>
  <c r="A310" i="9"/>
  <c r="B310" i="9"/>
  <c r="A311" i="9"/>
  <c r="B311" i="9"/>
  <c r="A312" i="9"/>
  <c r="B312" i="9"/>
  <c r="A313" i="9"/>
  <c r="B313" i="9"/>
  <c r="H316" i="17"/>
  <c r="H315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3" i="17"/>
  <c r="A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2" i="17"/>
  <c r="M20" i="15" l="1"/>
  <c r="K20" i="15"/>
  <c r="J20" i="15"/>
  <c r="H20" i="15"/>
  <c r="G20" i="15"/>
  <c r="E20" i="15"/>
  <c r="D20" i="15"/>
  <c r="C20" i="15"/>
  <c r="B20" i="15"/>
  <c r="N13" i="15" l="1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B29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X40" i="15"/>
  <c r="W40" i="15"/>
  <c r="V40" i="15"/>
  <c r="U40" i="15"/>
  <c r="S40" i="15"/>
  <c r="R40" i="15"/>
  <c r="Q40" i="15"/>
  <c r="O40" i="15"/>
  <c r="E40" i="15"/>
  <c r="D40" i="15"/>
  <c r="C40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F37" i="15"/>
  <c r="E37" i="15"/>
  <c r="D37" i="15"/>
  <c r="C37" i="15"/>
  <c r="B37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B34" i="15"/>
  <c r="I16" i="15"/>
  <c r="H16" i="15"/>
  <c r="G16" i="15"/>
  <c r="F16" i="15"/>
  <c r="E16" i="15"/>
  <c r="D16" i="15"/>
  <c r="C16" i="15"/>
  <c r="B16" i="15"/>
  <c r="K13" i="15"/>
  <c r="J13" i="15"/>
  <c r="I13" i="15"/>
  <c r="H13" i="15"/>
  <c r="G13" i="15"/>
  <c r="F13" i="15"/>
  <c r="E13" i="15"/>
  <c r="D13" i="15"/>
  <c r="C13" i="15"/>
  <c r="B13" i="15"/>
  <c r="T8" i="15" l="1"/>
  <c r="G246" i="14" l="1"/>
  <c r="B2" i="9" l="1"/>
  <c r="A2" i="9"/>
  <c r="D109" i="2"/>
  <c r="E224" i="14" l="1"/>
  <c r="G224" i="14" s="1"/>
  <c r="E236" i="14"/>
  <c r="F236" i="14" s="1"/>
  <c r="F242" i="14" s="1"/>
  <c r="G242" i="14" s="1"/>
  <c r="E53" i="2" s="1"/>
  <c r="G95" i="22" s="1"/>
  <c r="G96" i="22" s="1"/>
  <c r="E106" i="14"/>
  <c r="G106" i="14" s="1"/>
  <c r="E120" i="14"/>
  <c r="F120" i="14" s="1"/>
  <c r="F121" i="14" s="1"/>
  <c r="G121" i="14" s="1"/>
  <c r="C79" i="22" s="1"/>
  <c r="E151" i="14"/>
  <c r="E160" i="14"/>
  <c r="F160" i="14" s="1"/>
  <c r="F163" i="14" s="1"/>
  <c r="G163" i="14" s="1"/>
  <c r="E400" i="14"/>
  <c r="G400" i="14" s="1"/>
  <c r="F81" i="5" s="1"/>
  <c r="E396" i="14"/>
  <c r="G396" i="14" s="1"/>
  <c r="F77" i="5" s="1"/>
  <c r="E390" i="14"/>
  <c r="G390" i="14" s="1"/>
  <c r="F73" i="5" s="1"/>
  <c r="E386" i="14"/>
  <c r="G386" i="14" s="1"/>
  <c r="F69" i="5" s="1"/>
  <c r="E380" i="14"/>
  <c r="G380" i="14" s="1"/>
  <c r="F65" i="5" s="1"/>
  <c r="E376" i="14"/>
  <c r="G376" i="14" s="1"/>
  <c r="F61" i="5" s="1"/>
  <c r="E370" i="14"/>
  <c r="G370" i="14" s="1"/>
  <c r="F57" i="5" s="1"/>
  <c r="E364" i="14"/>
  <c r="G364" i="14" s="1"/>
  <c r="F53" i="5" s="1"/>
  <c r="E358" i="14"/>
  <c r="G358" i="14" s="1"/>
  <c r="F49" i="5" s="1"/>
  <c r="E346" i="14"/>
  <c r="G346" i="14" s="1"/>
  <c r="F41" i="5" s="1"/>
  <c r="E340" i="14"/>
  <c r="G340" i="14" s="1"/>
  <c r="F37" i="5" s="1"/>
  <c r="E336" i="14"/>
  <c r="G336" i="14" s="1"/>
  <c r="F33" i="5" s="1"/>
  <c r="E330" i="14"/>
  <c r="G330" i="14" s="1"/>
  <c r="F29" i="5" s="1"/>
  <c r="E326" i="14"/>
  <c r="G326" i="14" s="1"/>
  <c r="F25" i="5" s="1"/>
  <c r="E322" i="14"/>
  <c r="G322" i="14" s="1"/>
  <c r="F21" i="5" s="1"/>
  <c r="E314" i="14"/>
  <c r="G314" i="14" s="1"/>
  <c r="F17" i="5" s="1"/>
  <c r="E310" i="14"/>
  <c r="G310" i="14" s="1"/>
  <c r="F13" i="5" s="1"/>
  <c r="E304" i="14"/>
  <c r="G304" i="14" s="1"/>
  <c r="F9" i="5" s="1"/>
  <c r="E292" i="14"/>
  <c r="I294" i="14" s="1"/>
  <c r="E286" i="14"/>
  <c r="I288" i="14" s="1"/>
  <c r="E274" i="14"/>
  <c r="I276" i="14" s="1"/>
  <c r="E263" i="14"/>
  <c r="G263" i="14" s="1"/>
  <c r="D85" i="2" s="1"/>
  <c r="J18" i="23" s="1"/>
  <c r="K18" i="23" s="1"/>
  <c r="E257" i="14"/>
  <c r="G257" i="14" s="1"/>
  <c r="D80" i="2" s="1"/>
  <c r="E249" i="14"/>
  <c r="G249" i="14" s="1"/>
  <c r="E232" i="14"/>
  <c r="G232" i="14" s="1"/>
  <c r="E212" i="14"/>
  <c r="G212" i="14" s="1"/>
  <c r="D107" i="2" s="1"/>
  <c r="E196" i="14"/>
  <c r="E198" i="14" s="1"/>
  <c r="G198" i="14" s="1"/>
  <c r="E182" i="14"/>
  <c r="E184" i="14" s="1"/>
  <c r="G184" i="14" s="1"/>
  <c r="D104" i="2" s="1"/>
  <c r="E174" i="14"/>
  <c r="G174" i="14" s="1"/>
  <c r="E170" i="14"/>
  <c r="G170" i="14" s="1"/>
  <c r="E157" i="14"/>
  <c r="I159" i="14" s="1"/>
  <c r="E141" i="14"/>
  <c r="G141" i="14" s="1"/>
  <c r="C81" i="22" s="1"/>
  <c r="E135" i="14"/>
  <c r="G135" i="14" s="1"/>
  <c r="E129" i="14"/>
  <c r="G129" i="14" s="1"/>
  <c r="E117" i="14"/>
  <c r="G117" i="14" s="1"/>
  <c r="C78" i="22" s="1"/>
  <c r="E109" i="14"/>
  <c r="G109" i="14" s="1"/>
  <c r="E103" i="14"/>
  <c r="G103" i="14" s="1"/>
  <c r="E97" i="14"/>
  <c r="G97" i="14" s="1"/>
  <c r="E91" i="14"/>
  <c r="G91" i="14" s="1"/>
  <c r="E74" i="14"/>
  <c r="G74" i="14" s="1"/>
  <c r="E57" i="14"/>
  <c r="G57" i="14" s="1"/>
  <c r="E53" i="14"/>
  <c r="G53" i="14" s="1"/>
  <c r="E47" i="14"/>
  <c r="G47" i="14" s="1"/>
  <c r="E41" i="14"/>
  <c r="G41" i="14" s="1"/>
  <c r="E37" i="14"/>
  <c r="G37" i="14" s="1"/>
  <c r="E31" i="14"/>
  <c r="G31" i="14" s="1"/>
  <c r="E23" i="14"/>
  <c r="G23" i="14" s="1"/>
  <c r="E17" i="14"/>
  <c r="G17" i="14" s="1"/>
  <c r="E13" i="14"/>
  <c r="G13" i="14" s="1"/>
  <c r="E7" i="14"/>
  <c r="E399" i="14"/>
  <c r="G399" i="14" s="1"/>
  <c r="F80" i="5" s="1"/>
  <c r="E393" i="14"/>
  <c r="G393" i="14" s="1"/>
  <c r="F76" i="5" s="1"/>
  <c r="E389" i="14"/>
  <c r="G389" i="14" s="1"/>
  <c r="F72" i="5" s="1"/>
  <c r="E383" i="14"/>
  <c r="G383" i="14" s="1"/>
  <c r="F68" i="5" s="1"/>
  <c r="E379" i="14"/>
  <c r="G379" i="14" s="1"/>
  <c r="F64" i="5" s="1"/>
  <c r="E375" i="14"/>
  <c r="G375" i="14" s="1"/>
  <c r="F60" i="5" s="1"/>
  <c r="E369" i="14"/>
  <c r="G369" i="14" s="1"/>
  <c r="F56" i="5" s="1"/>
  <c r="E363" i="14"/>
  <c r="G363" i="14" s="1"/>
  <c r="F52" i="5" s="1"/>
  <c r="E353" i="14"/>
  <c r="G353" i="14" s="1"/>
  <c r="F88" i="5" s="1"/>
  <c r="E345" i="14"/>
  <c r="G345" i="14" s="1"/>
  <c r="F40" i="5" s="1"/>
  <c r="E339" i="14"/>
  <c r="G339" i="14" s="1"/>
  <c r="F36" i="5" s="1"/>
  <c r="E335" i="14"/>
  <c r="G335" i="14" s="1"/>
  <c r="F32" i="5" s="1"/>
  <c r="E329" i="14"/>
  <c r="G329" i="14" s="1"/>
  <c r="F28" i="5" s="1"/>
  <c r="E325" i="14"/>
  <c r="G325" i="14" s="1"/>
  <c r="F24" i="5" s="1"/>
  <c r="E319" i="14"/>
  <c r="G319" i="14" s="1"/>
  <c r="F20" i="5" s="1"/>
  <c r="E313" i="14"/>
  <c r="G313" i="14" s="1"/>
  <c r="F16" i="5" s="1"/>
  <c r="E307" i="14"/>
  <c r="G307" i="14" s="1"/>
  <c r="F12" i="5" s="1"/>
  <c r="F15" i="25" s="1"/>
  <c r="F16" i="25" s="1"/>
  <c r="E301" i="14"/>
  <c r="G301" i="14" s="1"/>
  <c r="F8" i="5" s="1"/>
  <c r="E291" i="14"/>
  <c r="G291" i="14" s="1"/>
  <c r="D99" i="2" s="1"/>
  <c r="E285" i="14"/>
  <c r="G285" i="14" s="1"/>
  <c r="D95" i="2" s="1"/>
  <c r="E271" i="14"/>
  <c r="I273" i="14" s="1"/>
  <c r="E262" i="14"/>
  <c r="G262" i="14" s="1"/>
  <c r="D84" i="2" s="1"/>
  <c r="E256" i="14"/>
  <c r="G256" i="14" s="1"/>
  <c r="D79" i="2" s="1"/>
  <c r="E248" i="14"/>
  <c r="G248" i="14" s="1"/>
  <c r="E231" i="14"/>
  <c r="G231" i="14" s="1"/>
  <c r="E221" i="14"/>
  <c r="I222" i="14" s="1"/>
  <c r="E207" i="14"/>
  <c r="I209" i="14" s="1"/>
  <c r="E193" i="14"/>
  <c r="E195" i="14" s="1"/>
  <c r="G195" i="14" s="1"/>
  <c r="E179" i="14"/>
  <c r="E173" i="14"/>
  <c r="G173" i="14" s="1"/>
  <c r="E169" i="14"/>
  <c r="G169" i="14" s="1"/>
  <c r="E154" i="14"/>
  <c r="I156" i="14" s="1"/>
  <c r="E138" i="14"/>
  <c r="G138" i="14" s="1"/>
  <c r="E134" i="14"/>
  <c r="G134" i="14" s="1"/>
  <c r="E406" i="14"/>
  <c r="G406" i="14" s="1"/>
  <c r="F83" i="5" s="1"/>
  <c r="E398" i="14"/>
  <c r="G398" i="14" s="1"/>
  <c r="F79" i="5" s="1"/>
  <c r="E392" i="14"/>
  <c r="G392" i="14" s="1"/>
  <c r="F75" i="5" s="1"/>
  <c r="E388" i="14"/>
  <c r="G388" i="14" s="1"/>
  <c r="F71" i="5" s="1"/>
  <c r="E382" i="14"/>
  <c r="G382" i="14" s="1"/>
  <c r="F67" i="5" s="1"/>
  <c r="E378" i="14"/>
  <c r="G378" i="14" s="1"/>
  <c r="F63" i="5" s="1"/>
  <c r="E372" i="14"/>
  <c r="G372" i="14" s="1"/>
  <c r="F59" i="5" s="1"/>
  <c r="E366" i="14"/>
  <c r="G366" i="14" s="1"/>
  <c r="F55" i="5" s="1"/>
  <c r="E360" i="14"/>
  <c r="G360" i="14" s="1"/>
  <c r="F51" i="5" s="1"/>
  <c r="E352" i="14"/>
  <c r="G352" i="14" s="1"/>
  <c r="F87" i="5" s="1"/>
  <c r="E344" i="14"/>
  <c r="G344" i="14" s="1"/>
  <c r="F39" i="5" s="1"/>
  <c r="E338" i="14"/>
  <c r="G338" i="14" s="1"/>
  <c r="F35" i="5" s="1"/>
  <c r="E334" i="14"/>
  <c r="G334" i="14" s="1"/>
  <c r="F31" i="5" s="1"/>
  <c r="E328" i="14"/>
  <c r="G328" i="14" s="1"/>
  <c r="F27" i="5" s="1"/>
  <c r="E324" i="14"/>
  <c r="G324" i="14" s="1"/>
  <c r="F23" i="5" s="1"/>
  <c r="E318" i="14"/>
  <c r="G318" i="14" s="1"/>
  <c r="F19" i="5" s="1"/>
  <c r="E312" i="14"/>
  <c r="G312" i="14" s="1"/>
  <c r="F15" i="5" s="1"/>
  <c r="E306" i="14"/>
  <c r="G306" i="14" s="1"/>
  <c r="F11" i="5" s="1"/>
  <c r="E300" i="14"/>
  <c r="G300" i="14" s="1"/>
  <c r="F7" i="5" s="1"/>
  <c r="E290" i="14"/>
  <c r="G290" i="14" s="1"/>
  <c r="D98" i="2" s="1"/>
  <c r="E284" i="14"/>
  <c r="E267" i="14"/>
  <c r="E261" i="14"/>
  <c r="G261" i="14" s="1"/>
  <c r="D83" i="2" s="1"/>
  <c r="E255" i="14"/>
  <c r="G255" i="14" s="1"/>
  <c r="D78" i="2" s="1"/>
  <c r="E230" i="14"/>
  <c r="G230" i="14" s="1"/>
  <c r="E216" i="14"/>
  <c r="I217" i="14" s="1"/>
  <c r="E202" i="14"/>
  <c r="E190" i="14"/>
  <c r="E192" i="14" s="1"/>
  <c r="G192" i="14" s="1"/>
  <c r="E178" i="14"/>
  <c r="G178" i="14" s="1"/>
  <c r="E172" i="14"/>
  <c r="G172" i="14" s="1"/>
  <c r="E164" i="14"/>
  <c r="I165" i="14" s="1"/>
  <c r="E137" i="14"/>
  <c r="G137" i="14" s="1"/>
  <c r="E133" i="14"/>
  <c r="G133" i="14" s="1"/>
  <c r="E125" i="14"/>
  <c r="G125" i="14" s="1"/>
  <c r="E111" i="14"/>
  <c r="G111" i="14" s="1"/>
  <c r="E107" i="14"/>
  <c r="G107" i="14" s="1"/>
  <c r="E101" i="14"/>
  <c r="G101" i="14" s="1"/>
  <c r="E95" i="14"/>
  <c r="G95" i="14" s="1"/>
  <c r="E78" i="14"/>
  <c r="E65" i="14"/>
  <c r="E55" i="14"/>
  <c r="G55" i="14" s="1"/>
  <c r="E51" i="14"/>
  <c r="G51" i="14" s="1"/>
  <c r="E45" i="14"/>
  <c r="G45" i="14" s="1"/>
  <c r="D32" i="22" s="1"/>
  <c r="D33" i="22" s="1"/>
  <c r="E39" i="14"/>
  <c r="G39" i="14" s="1"/>
  <c r="E33" i="14"/>
  <c r="G33" i="14" s="1"/>
  <c r="E27" i="14"/>
  <c r="G27" i="14" s="1"/>
  <c r="E19" i="14"/>
  <c r="G19" i="14" s="1"/>
  <c r="E15" i="14"/>
  <c r="G15" i="14" s="1"/>
  <c r="E9" i="14"/>
  <c r="G9" i="14" s="1"/>
  <c r="E401" i="14"/>
  <c r="G401" i="14" s="1"/>
  <c r="F82" i="5" s="1"/>
  <c r="E397" i="14"/>
  <c r="G397" i="14" s="1"/>
  <c r="F78" i="5" s="1"/>
  <c r="E391" i="14"/>
  <c r="G391" i="14" s="1"/>
  <c r="F74" i="5" s="1"/>
  <c r="E387" i="14"/>
  <c r="G387" i="14" s="1"/>
  <c r="F70" i="5" s="1"/>
  <c r="E381" i="14"/>
  <c r="G381" i="14" s="1"/>
  <c r="F66" i="5" s="1"/>
  <c r="E377" i="14"/>
  <c r="G377" i="14" s="1"/>
  <c r="F62" i="5" s="1"/>
  <c r="E371" i="14"/>
  <c r="G371" i="14" s="1"/>
  <c r="F58" i="5" s="1"/>
  <c r="E365" i="14"/>
  <c r="G365" i="14" s="1"/>
  <c r="F54" i="5" s="1"/>
  <c r="E359" i="14"/>
  <c r="G359" i="14" s="1"/>
  <c r="F50" i="5" s="1"/>
  <c r="E347" i="14"/>
  <c r="G347" i="14" s="1"/>
  <c r="F42" i="5" s="1"/>
  <c r="E343" i="14"/>
  <c r="G343" i="14" s="1"/>
  <c r="F38" i="5" s="1"/>
  <c r="E337" i="14"/>
  <c r="G337" i="14" s="1"/>
  <c r="F34" i="5" s="1"/>
  <c r="E333" i="14"/>
  <c r="G333" i="14" s="1"/>
  <c r="E327" i="14"/>
  <c r="G327" i="14" s="1"/>
  <c r="F26" i="5" s="1"/>
  <c r="E323" i="14"/>
  <c r="G323" i="14" s="1"/>
  <c r="F22" i="5" s="1"/>
  <c r="E317" i="14"/>
  <c r="G317" i="14" s="1"/>
  <c r="F18" i="5" s="1"/>
  <c r="E311" i="14"/>
  <c r="G311" i="14" s="1"/>
  <c r="F14" i="5" s="1"/>
  <c r="E305" i="14"/>
  <c r="G305" i="14" s="1"/>
  <c r="F10" i="5" s="1"/>
  <c r="E299" i="14"/>
  <c r="G299" i="14" s="1"/>
  <c r="F6" i="5" s="1"/>
  <c r="E289" i="14"/>
  <c r="G289" i="14" s="1"/>
  <c r="D97" i="2" s="1"/>
  <c r="E279" i="14"/>
  <c r="I281" i="14" s="1"/>
  <c r="E264" i="14"/>
  <c r="G264" i="14" s="1"/>
  <c r="E258" i="14"/>
  <c r="G258" i="14" s="1"/>
  <c r="D81" i="2" s="1"/>
  <c r="E254" i="14"/>
  <c r="G254" i="14" s="1"/>
  <c r="D77" i="2" s="1"/>
  <c r="J7" i="23" s="1"/>
  <c r="K7" i="23" s="1"/>
  <c r="E233" i="14"/>
  <c r="G233" i="14" s="1"/>
  <c r="E227" i="14"/>
  <c r="G227" i="14" s="1"/>
  <c r="E213" i="14"/>
  <c r="G213" i="14" s="1"/>
  <c r="D108" i="2" s="1"/>
  <c r="E199" i="14"/>
  <c r="E187" i="14"/>
  <c r="E188" i="14" s="1"/>
  <c r="G188" i="14" s="1"/>
  <c r="E177" i="14"/>
  <c r="G177" i="14" s="1"/>
  <c r="E171" i="14"/>
  <c r="G171" i="14" s="1"/>
  <c r="E136" i="14"/>
  <c r="G136" i="14" s="1"/>
  <c r="E116" i="14"/>
  <c r="G116" i="14" s="1"/>
  <c r="C77" i="22" s="1"/>
  <c r="E102" i="14"/>
  <c r="G102" i="14" s="1"/>
  <c r="E90" i="14"/>
  <c r="G90" i="14" s="1"/>
  <c r="E56" i="14"/>
  <c r="G56" i="14" s="1"/>
  <c r="E46" i="14"/>
  <c r="G46" i="14" s="1"/>
  <c r="E36" i="14"/>
  <c r="G36" i="14" s="1"/>
  <c r="E22" i="14"/>
  <c r="G22" i="14" s="1"/>
  <c r="E10" i="14"/>
  <c r="G10" i="14" s="1"/>
  <c r="E130" i="14"/>
  <c r="G130" i="14" s="1"/>
  <c r="E110" i="14"/>
  <c r="G110" i="14" s="1"/>
  <c r="E98" i="14"/>
  <c r="G98" i="14" s="1"/>
  <c r="E75" i="14"/>
  <c r="E54" i="14"/>
  <c r="G54" i="14" s="1"/>
  <c r="E44" i="14"/>
  <c r="G44" i="14" s="1"/>
  <c r="E32" i="14"/>
  <c r="G32" i="14" s="1"/>
  <c r="E18" i="14"/>
  <c r="G18" i="14" s="1"/>
  <c r="E8" i="14"/>
  <c r="G8" i="14" s="1"/>
  <c r="E14" i="14"/>
  <c r="G14" i="14" s="1"/>
  <c r="I162" i="14"/>
  <c r="E126" i="14"/>
  <c r="G126" i="14" s="1"/>
  <c r="E108" i="14"/>
  <c r="G108" i="14" s="1"/>
  <c r="E96" i="14"/>
  <c r="G96" i="14" s="1"/>
  <c r="E73" i="14"/>
  <c r="G73" i="14" s="1"/>
  <c r="E52" i="14"/>
  <c r="G52" i="14" s="1"/>
  <c r="E40" i="14"/>
  <c r="G40" i="14" s="1"/>
  <c r="E28" i="14"/>
  <c r="G28" i="14" s="1"/>
  <c r="E16" i="14"/>
  <c r="G16" i="14" s="1"/>
  <c r="E6" i="14"/>
  <c r="E144" i="14"/>
  <c r="I146" i="14" s="1"/>
  <c r="E92" i="14"/>
  <c r="G92" i="14" s="1"/>
  <c r="E60" i="14"/>
  <c r="E48" i="14"/>
  <c r="G48" i="14" s="1"/>
  <c r="E38" i="14"/>
  <c r="G38" i="14" s="1"/>
  <c r="E26" i="14"/>
  <c r="G26" i="14" s="1"/>
  <c r="G61" i="14"/>
  <c r="G62" i="14"/>
  <c r="G63" i="14"/>
  <c r="G64" i="14"/>
  <c r="G66" i="14"/>
  <c r="G67" i="14"/>
  <c r="G68" i="14"/>
  <c r="G69" i="14"/>
  <c r="G70" i="14"/>
  <c r="G71" i="14"/>
  <c r="G72" i="14"/>
  <c r="G76" i="14"/>
  <c r="G77" i="14"/>
  <c r="G79" i="14"/>
  <c r="G80" i="14"/>
  <c r="G81" i="14"/>
  <c r="G82" i="14"/>
  <c r="G83" i="14"/>
  <c r="G84" i="14"/>
  <c r="G85" i="14"/>
  <c r="G122" i="14"/>
  <c r="G145" i="14"/>
  <c r="G146" i="14"/>
  <c r="G153" i="14"/>
  <c r="G155" i="14"/>
  <c r="G156" i="14"/>
  <c r="G158" i="14"/>
  <c r="G159" i="14"/>
  <c r="G161" i="14"/>
  <c r="G162" i="14"/>
  <c r="G165" i="14"/>
  <c r="G166" i="14"/>
  <c r="G181" i="14"/>
  <c r="G208" i="14"/>
  <c r="G209" i="14"/>
  <c r="G217" i="14"/>
  <c r="G218" i="14"/>
  <c r="G219" i="14"/>
  <c r="G220" i="14"/>
  <c r="G222" i="14"/>
  <c r="G223" i="14"/>
  <c r="G226" i="14"/>
  <c r="G237" i="14"/>
  <c r="E46" i="2" s="1"/>
  <c r="G238" i="14"/>
  <c r="E48" i="2" s="1"/>
  <c r="G239" i="14"/>
  <c r="E49" i="2" s="1"/>
  <c r="G240" i="14"/>
  <c r="E50" i="2" s="1"/>
  <c r="G241" i="14"/>
  <c r="E51" i="2" s="1"/>
  <c r="G243" i="14"/>
  <c r="E54" i="2" s="1"/>
  <c r="G244" i="14"/>
  <c r="E58" i="2" s="1"/>
  <c r="G245" i="14"/>
  <c r="E59" i="2" s="1"/>
  <c r="G272" i="14"/>
  <c r="G273" i="14"/>
  <c r="D90" i="2" s="1"/>
  <c r="G275" i="14"/>
  <c r="G276" i="14"/>
  <c r="D91" i="2" s="1"/>
  <c r="G280" i="14"/>
  <c r="G281" i="14"/>
  <c r="D112" i="2" s="1"/>
  <c r="G287" i="14"/>
  <c r="G288" i="14"/>
  <c r="D96" i="2" s="1"/>
  <c r="G293" i="14"/>
  <c r="G294" i="14"/>
  <c r="E69" i="2"/>
  <c r="E68" i="2"/>
  <c r="E64" i="2"/>
  <c r="E63" i="2"/>
  <c r="E62" i="2"/>
  <c r="E60" i="2"/>
  <c r="E57" i="2"/>
  <c r="E56" i="2"/>
  <c r="E55" i="2"/>
  <c r="C82" i="22" l="1"/>
  <c r="D117" i="2"/>
  <c r="D116" i="2"/>
  <c r="I225" i="14"/>
  <c r="I268" i="14"/>
  <c r="F267" i="14"/>
  <c r="F268" i="14" s="1"/>
  <c r="G268" i="14" s="1"/>
  <c r="I180" i="14"/>
  <c r="F179" i="14"/>
  <c r="F180" i="14" s="1"/>
  <c r="G180" i="14" s="1"/>
  <c r="I153" i="14"/>
  <c r="F151" i="14"/>
  <c r="G152" i="14" s="1"/>
  <c r="G7" i="14"/>
  <c r="D30" i="22" s="1"/>
  <c r="D31" i="22" s="1"/>
  <c r="F30" i="5"/>
  <c r="F43" i="5" s="1"/>
  <c r="G16" i="24"/>
  <c r="G17" i="24" s="1"/>
  <c r="G202" i="14"/>
  <c r="E203" i="14"/>
  <c r="G203" i="14" s="1"/>
  <c r="E204" i="14"/>
  <c r="G204" i="14" s="1"/>
  <c r="G199" i="14"/>
  <c r="E201" i="14"/>
  <c r="G201" i="14" s="1"/>
  <c r="E200" i="14"/>
  <c r="G200" i="14" s="1"/>
  <c r="D57" i="2" s="1"/>
  <c r="I240" i="14"/>
  <c r="I246" i="14"/>
  <c r="D100" i="2"/>
  <c r="D102" i="2"/>
  <c r="D114" i="2"/>
  <c r="D110" i="2"/>
  <c r="D103" i="2"/>
  <c r="D92" i="2"/>
  <c r="D113" i="2"/>
  <c r="H3" i="21"/>
  <c r="G6" i="14"/>
  <c r="D8" i="2" s="1"/>
  <c r="E191" i="14"/>
  <c r="G191" i="14" s="1"/>
  <c r="I181" i="14"/>
  <c r="I208" i="14"/>
  <c r="I275" i="14"/>
  <c r="I243" i="14"/>
  <c r="I239" i="14"/>
  <c r="I287" i="14"/>
  <c r="I237" i="14"/>
  <c r="I242" i="14"/>
  <c r="I238" i="14"/>
  <c r="I166" i="14"/>
  <c r="I152" i="14"/>
  <c r="I245" i="14"/>
  <c r="I241" i="14"/>
  <c r="I272" i="14"/>
  <c r="I280" i="14"/>
  <c r="I293" i="14"/>
  <c r="E183" i="14"/>
  <c r="G183" i="14" s="1"/>
  <c r="D55" i="2" s="1"/>
  <c r="I155" i="14"/>
  <c r="I244" i="14"/>
  <c r="F84" i="5"/>
  <c r="I121" i="14"/>
  <c r="I122" i="14"/>
  <c r="I61" i="14"/>
  <c r="I63" i="14"/>
  <c r="I62" i="14"/>
  <c r="I64" i="14"/>
  <c r="I163" i="14"/>
  <c r="I161" i="14"/>
  <c r="I158" i="14"/>
  <c r="I145" i="14"/>
  <c r="E197" i="14"/>
  <c r="G197" i="14" s="1"/>
  <c r="I226" i="14"/>
  <c r="I223" i="14"/>
  <c r="I220" i="14"/>
  <c r="I218" i="14"/>
  <c r="I76" i="14"/>
  <c r="I77" i="14"/>
  <c r="I79" i="14"/>
  <c r="I81" i="14"/>
  <c r="I83" i="14"/>
  <c r="I85" i="14"/>
  <c r="I80" i="14"/>
  <c r="I82" i="14"/>
  <c r="I84" i="14"/>
  <c r="I66" i="14"/>
  <c r="I68" i="14"/>
  <c r="I70" i="14"/>
  <c r="I72" i="14"/>
  <c r="I67" i="14"/>
  <c r="I69" i="14"/>
  <c r="I71" i="14"/>
  <c r="I219" i="14"/>
  <c r="E194" i="14"/>
  <c r="G194" i="14" s="1"/>
  <c r="E189" i="14"/>
  <c r="G189" i="14" s="1"/>
  <c r="D105" i="2" s="1"/>
  <c r="D223" i="14"/>
  <c r="D222" i="14"/>
  <c r="D226" i="14"/>
  <c r="D225" i="14"/>
  <c r="D50" i="2"/>
  <c r="F50" i="2" s="1"/>
  <c r="D46" i="2"/>
  <c r="F46" i="2" s="1"/>
  <c r="E66" i="2"/>
  <c r="E65" i="2"/>
  <c r="D64" i="2"/>
  <c r="F64" i="2" s="1"/>
  <c r="E33" i="2"/>
  <c r="E32" i="2"/>
  <c r="E31" i="2"/>
  <c r="E30" i="2"/>
  <c r="E29" i="2"/>
  <c r="E28" i="2"/>
  <c r="E27" i="2"/>
  <c r="E25" i="2"/>
  <c r="E13" i="2"/>
  <c r="D68" i="2"/>
  <c r="F68" i="2" s="1"/>
  <c r="D66" i="2"/>
  <c r="E45" i="2"/>
  <c r="E44" i="2"/>
  <c r="E43" i="2"/>
  <c r="E41" i="2"/>
  <c r="G152" i="22" s="1"/>
  <c r="G153" i="22" s="1"/>
  <c r="D44" i="2"/>
  <c r="D43" i="2"/>
  <c r="E24" i="2"/>
  <c r="E12" i="2"/>
  <c r="E21" i="2"/>
  <c r="E17" i="2"/>
  <c r="E64" i="22" s="1"/>
  <c r="E65" i="22" s="1"/>
  <c r="E9" i="2"/>
  <c r="E8" i="2"/>
  <c r="D31" i="2"/>
  <c r="D29" i="2"/>
  <c r="D28" i="2"/>
  <c r="F28" i="2" s="1"/>
  <c r="D27" i="2"/>
  <c r="F27" i="2" s="1"/>
  <c r="D33" i="2"/>
  <c r="D25" i="2"/>
  <c r="D13" i="2"/>
  <c r="D32" i="2"/>
  <c r="D24" i="2"/>
  <c r="K62" i="22" s="1"/>
  <c r="K63" i="22" s="1"/>
  <c r="D12" i="2"/>
  <c r="D16" i="2"/>
  <c r="F16" i="2" s="1"/>
  <c r="D15" i="2"/>
  <c r="F15" i="2" s="1"/>
  <c r="D23" i="2"/>
  <c r="D22" i="2"/>
  <c r="D21" i="2"/>
  <c r="D20" i="2"/>
  <c r="D19" i="2"/>
  <c r="G62" i="22" s="1"/>
  <c r="G63" i="22" s="1"/>
  <c r="D18" i="2"/>
  <c r="F62" i="22" s="1"/>
  <c r="F63" i="22" s="1"/>
  <c r="D17" i="2"/>
  <c r="D10" i="2"/>
  <c r="C7" i="21" l="1"/>
  <c r="C93" i="23"/>
  <c r="F87" i="23"/>
  <c r="C96" i="23"/>
  <c r="G98" i="23" s="1"/>
  <c r="E62" i="22"/>
  <c r="E63" i="22" s="1"/>
  <c r="F55" i="2"/>
  <c r="C125" i="22" s="1"/>
  <c r="D113" i="22"/>
  <c r="E113" i="22" s="1"/>
  <c r="J62" i="22"/>
  <c r="J63" i="22" s="1"/>
  <c r="F57" i="2"/>
  <c r="C127" i="22" s="1"/>
  <c r="D115" i="22"/>
  <c r="E115" i="22" s="1"/>
  <c r="F408" i="14"/>
  <c r="D9" i="2"/>
  <c r="F9" i="2" s="1"/>
  <c r="F29" i="2"/>
  <c r="D106" i="2"/>
  <c r="F21" i="2"/>
  <c r="F32" i="2"/>
  <c r="F66" i="2"/>
  <c r="F25" i="2"/>
  <c r="F17" i="2"/>
  <c r="F13" i="2"/>
  <c r="F33" i="2"/>
  <c r="F44" i="2"/>
  <c r="F24" i="2"/>
  <c r="F31" i="2"/>
  <c r="F8" i="2"/>
  <c r="F12" i="2"/>
  <c r="F43" i="2"/>
  <c r="F86" i="5"/>
  <c r="F90" i="5" s="1"/>
  <c r="D20" i="23" s="1"/>
  <c r="G20" i="23" s="1"/>
  <c r="D60" i="2"/>
  <c r="D118" i="22" s="1"/>
  <c r="E118" i="22" s="1"/>
  <c r="E11" i="2"/>
  <c r="E10" i="2"/>
  <c r="F10" i="2" s="1"/>
  <c r="E19" i="2"/>
  <c r="E23" i="2"/>
  <c r="D58" i="2"/>
  <c r="D11" i="2"/>
  <c r="D30" i="2"/>
  <c r="F30" i="2" s="1"/>
  <c r="D42" i="2"/>
  <c r="E42" i="2"/>
  <c r="D59" i="2"/>
  <c r="D54" i="2"/>
  <c r="D45" i="2"/>
  <c r="F45" i="2" s="1"/>
  <c r="D48" i="2"/>
  <c r="F48" i="2" s="1"/>
  <c r="D56" i="2"/>
  <c r="E18" i="2"/>
  <c r="E22" i="2"/>
  <c r="F22" i="2" s="1"/>
  <c r="D41" i="2"/>
  <c r="F41" i="2" s="1"/>
  <c r="D62" i="2"/>
  <c r="F62" i="2" s="1"/>
  <c r="D69" i="2"/>
  <c r="F69" i="2" s="1"/>
  <c r="F67" i="2" s="1"/>
  <c r="D49" i="2"/>
  <c r="F49" i="2" s="1"/>
  <c r="E20" i="2"/>
  <c r="F20" i="2" s="1"/>
  <c r="D65" i="2"/>
  <c r="F65" i="2" s="1"/>
  <c r="D63" i="2"/>
  <c r="F63" i="2" s="1"/>
  <c r="D53" i="2"/>
  <c r="D51" i="2"/>
  <c r="F51" i="2" s="1"/>
  <c r="G284" i="14"/>
  <c r="D94" i="2" s="1"/>
  <c r="C99" i="23" l="1"/>
  <c r="C160" i="22"/>
  <c r="C157" i="22"/>
  <c r="C159" i="22" s="1"/>
  <c r="G95" i="23"/>
  <c r="F56" i="2"/>
  <c r="C126" i="22" s="1"/>
  <c r="D114" i="22"/>
  <c r="E114" i="22" s="1"/>
  <c r="F58" i="2"/>
  <c r="C128" i="22" s="1"/>
  <c r="D116" i="22"/>
  <c r="E116" i="22" s="1"/>
  <c r="J64" i="22"/>
  <c r="J65" i="22" s="1"/>
  <c r="F59" i="2"/>
  <c r="C129" i="22" s="1"/>
  <c r="D117" i="22"/>
  <c r="E117" i="22" s="1"/>
  <c r="F54" i="2"/>
  <c r="C124" i="22" s="1"/>
  <c r="D112" i="22"/>
  <c r="E112" i="22" s="1"/>
  <c r="D21" i="23"/>
  <c r="G21" i="23"/>
  <c r="F60" i="2"/>
  <c r="C130" i="22" s="1"/>
  <c r="F53" i="2"/>
  <c r="C123" i="22" s="1"/>
  <c r="D111" i="22"/>
  <c r="E111" i="22" s="1"/>
  <c r="F18" i="2"/>
  <c r="F64" i="22"/>
  <c r="F65" i="22" s="1"/>
  <c r="F19" i="2"/>
  <c r="G64" i="22"/>
  <c r="G65" i="22" s="1"/>
  <c r="F23" i="2"/>
  <c r="G267" i="14"/>
  <c r="G408" i="14" s="1"/>
  <c r="F42" i="2"/>
  <c r="F40" i="2" s="1"/>
  <c r="F11" i="2"/>
  <c r="F26" i="2"/>
  <c r="F61" i="2"/>
  <c r="F47" i="2"/>
  <c r="C88" i="23"/>
  <c r="C35" i="23"/>
  <c r="C36" i="23" s="1"/>
  <c r="C161" i="22" l="1"/>
  <c r="C84" i="22"/>
  <c r="C131" i="22"/>
  <c r="G123" i="22"/>
  <c r="D49" i="23"/>
  <c r="D50" i="23" s="1"/>
  <c r="I3" i="21"/>
  <c r="E119" i="22"/>
  <c r="C101" i="22" s="1"/>
  <c r="F52" i="2"/>
  <c r="C132" i="22" s="1"/>
  <c r="F14" i="2"/>
  <c r="D86" i="2"/>
  <c r="J19" i="23" s="1"/>
  <c r="K19" i="23" s="1"/>
  <c r="E408" i="14"/>
  <c r="C22" i="23"/>
  <c r="C23" i="23" s="1"/>
  <c r="C3" i="13"/>
  <c r="F39" i="2" l="1"/>
  <c r="D3" i="21" s="1"/>
  <c r="M62" i="22"/>
  <c r="M63" i="22" s="1"/>
  <c r="C133" i="22"/>
  <c r="C107" i="22"/>
  <c r="C12" i="13"/>
  <c r="E1" i="14"/>
  <c r="G1" i="14"/>
  <c r="D89" i="2"/>
  <c r="H35" i="23" s="1"/>
  <c r="H36" i="23" s="1"/>
  <c r="D115" i="2"/>
  <c r="D76" i="2"/>
  <c r="D93" i="2"/>
  <c r="D82" i="2"/>
  <c r="D111" i="2"/>
  <c r="G108" i="23" s="1"/>
  <c r="G109" i="23" s="1"/>
  <c r="D101" i="2"/>
  <c r="C11" i="13"/>
  <c r="C18" i="13" s="1"/>
  <c r="C10" i="13"/>
  <c r="C9" i="13"/>
  <c r="C8" i="13"/>
  <c r="C6" i="13"/>
  <c r="C5" i="13"/>
  <c r="C3" i="21" l="1"/>
  <c r="E3" i="21" s="1"/>
  <c r="F88" i="23"/>
  <c r="C100" i="23"/>
  <c r="C101" i="23" s="1"/>
  <c r="C42" i="23"/>
  <c r="C41" i="23" s="1"/>
  <c r="C49" i="23"/>
  <c r="C44" i="23"/>
  <c r="C51" i="23"/>
  <c r="AG13" i="15"/>
  <c r="AF13" i="15"/>
  <c r="AF15" i="15"/>
  <c r="AG15" i="15"/>
  <c r="AK15" i="15"/>
  <c r="AI13" i="15"/>
  <c r="AJ15" i="15"/>
  <c r="AL13" i="15"/>
  <c r="AI15" i="15"/>
  <c r="AK13" i="15"/>
  <c r="AL15" i="15"/>
  <c r="AJ13" i="15"/>
  <c r="D88" i="2"/>
  <c r="C17" i="13"/>
  <c r="C46" i="23" l="1"/>
  <c r="C47" i="23" s="1"/>
  <c r="C72" i="23"/>
  <c r="C50" i="23"/>
  <c r="AK20" i="15"/>
  <c r="AI18" i="15"/>
  <c r="AJ20" i="15"/>
  <c r="AL18" i="15"/>
  <c r="AI20" i="15"/>
  <c r="AK18" i="15"/>
  <c r="AL20" i="15"/>
  <c r="AJ18" i="15"/>
  <c r="AF20" i="15"/>
  <c r="AG20" i="15"/>
  <c r="AG18" i="15"/>
  <c r="AF18" i="15"/>
  <c r="D88" i="5"/>
  <c r="D41" i="5"/>
  <c r="D78" i="5"/>
  <c r="D70" i="5"/>
  <c r="D62" i="5"/>
  <c r="D26" i="24" s="1"/>
  <c r="H26" i="24" s="1"/>
  <c r="D54" i="5"/>
  <c r="D36" i="5"/>
  <c r="D73" i="5"/>
  <c r="D57" i="5"/>
  <c r="D87" i="5"/>
  <c r="D42" i="5"/>
  <c r="D38" i="5"/>
  <c r="D34" i="5"/>
  <c r="D26" i="5"/>
  <c r="C27" i="25" s="1"/>
  <c r="G27" i="25" s="1"/>
  <c r="D79" i="5"/>
  <c r="D75" i="5"/>
  <c r="D71" i="5"/>
  <c r="D67" i="5"/>
  <c r="D59" i="5"/>
  <c r="D55" i="5"/>
  <c r="D74" i="5"/>
  <c r="D46" i="24" s="1"/>
  <c r="H46" i="24" s="1"/>
  <c r="D66" i="5"/>
  <c r="D58" i="5"/>
  <c r="D40" i="5"/>
  <c r="D32" i="5"/>
  <c r="D77" i="5"/>
  <c r="D69" i="5"/>
  <c r="D44" i="24" s="1"/>
  <c r="D61" i="5"/>
  <c r="D25" i="24" s="1"/>
  <c r="H25" i="24" s="1"/>
  <c r="D53" i="5"/>
  <c r="D39" i="5"/>
  <c r="D35" i="5"/>
  <c r="D31" i="5"/>
  <c r="D23" i="5"/>
  <c r="C23" i="25" s="1"/>
  <c r="G23" i="25" s="1"/>
  <c r="D19" i="5"/>
  <c r="D49" i="5"/>
  <c r="D80" i="5"/>
  <c r="D76" i="5"/>
  <c r="D47" i="24" s="1"/>
  <c r="H47" i="24" s="1"/>
  <c r="D60" i="5"/>
  <c r="D24" i="24" s="1"/>
  <c r="D52" i="5"/>
  <c r="D27" i="5"/>
  <c r="C28" i="25" s="1"/>
  <c r="D37" i="5"/>
  <c r="D17" i="5"/>
  <c r="D18" i="5"/>
  <c r="D51" i="5"/>
  <c r="D64" i="5"/>
  <c r="D28" i="24" s="1"/>
  <c r="H28" i="24" s="1"/>
  <c r="D65" i="5"/>
  <c r="D30" i="24" s="1"/>
  <c r="H30" i="24" s="1"/>
  <c r="D72" i="5"/>
  <c r="D45" i="24" s="1"/>
  <c r="H45" i="24" s="1"/>
  <c r="D81" i="5"/>
  <c r="D82" i="5"/>
  <c r="D31" i="24" l="1"/>
  <c r="H31" i="24" s="1"/>
  <c r="D32" i="24"/>
  <c r="H32" i="24" s="1"/>
  <c r="H44" i="24"/>
  <c r="H48" i="24" s="1"/>
  <c r="J49" i="24" s="1"/>
  <c r="D48" i="24"/>
  <c r="G28" i="25"/>
  <c r="H24" i="24"/>
  <c r="C52" i="23"/>
  <c r="D8" i="5"/>
  <c r="D28" i="5"/>
  <c r="G29" i="25" s="1"/>
  <c r="D22" i="5"/>
  <c r="C22" i="25" s="1"/>
  <c r="G22" i="25" s="1"/>
  <c r="D25" i="5"/>
  <c r="C25" i="25" s="1"/>
  <c r="G25" i="25" s="1"/>
  <c r="D21" i="5"/>
  <c r="C21" i="25" s="1"/>
  <c r="G21" i="25" s="1"/>
  <c r="D11" i="5"/>
  <c r="D15" i="5"/>
  <c r="D33" i="5"/>
  <c r="D68" i="5"/>
  <c r="D33" i="24" s="1"/>
  <c r="D39" i="24" s="1"/>
  <c r="D63" i="5"/>
  <c r="D27" i="24" s="1"/>
  <c r="H27" i="24" s="1"/>
  <c r="D24" i="5"/>
  <c r="C24" i="25" s="1"/>
  <c r="G24" i="25" s="1"/>
  <c r="D12" i="5"/>
  <c r="B15" i="25" s="1"/>
  <c r="B16" i="25" s="1"/>
  <c r="D50" i="5"/>
  <c r="C16" i="24" s="1"/>
  <c r="C17" i="24" s="1"/>
  <c r="D30" i="5"/>
  <c r="D29" i="5"/>
  <c r="D20" i="5"/>
  <c r="D14" i="5"/>
  <c r="D13" i="5"/>
  <c r="D10" i="5"/>
  <c r="D9" i="5"/>
  <c r="D6" i="5"/>
  <c r="D7" i="5"/>
  <c r="D83" i="5"/>
  <c r="D56" i="5"/>
  <c r="D16" i="5"/>
  <c r="C34" i="25" l="1"/>
  <c r="D38" i="24"/>
  <c r="G30" i="25"/>
  <c r="G34" i="25" s="1"/>
  <c r="H33" i="24"/>
  <c r="H38" i="24" s="1"/>
  <c r="J39" i="24" s="1"/>
  <c r="D43" i="5"/>
  <c r="E43" i="5"/>
  <c r="E67" i="2"/>
  <c r="D67" i="2"/>
  <c r="E61" i="2"/>
  <c r="D61" i="2"/>
  <c r="E52" i="2"/>
  <c r="D52" i="2"/>
  <c r="C108" i="22" s="1"/>
  <c r="C109" i="22" s="1"/>
  <c r="E47" i="2"/>
  <c r="D47" i="2"/>
  <c r="E40" i="2"/>
  <c r="D40" i="2"/>
  <c r="E26" i="2"/>
  <c r="D26" i="2"/>
  <c r="E14" i="2"/>
  <c r="D14" i="2"/>
  <c r="E7" i="2"/>
  <c r="D39" i="2" l="1"/>
  <c r="E39" i="2"/>
  <c r="E6" i="2"/>
  <c r="D84" i="5"/>
  <c r="D86" i="5" s="1"/>
  <c r="D90" i="5" s="1"/>
  <c r="G1" i="31" s="1"/>
  <c r="E90" i="5"/>
  <c r="E70" i="2" l="1"/>
  <c r="D7" i="2" l="1"/>
  <c r="D6" i="2" l="1"/>
  <c r="D70" i="2" s="1"/>
  <c r="F7" i="2"/>
  <c r="F6" i="2" s="1"/>
  <c r="F70" i="2" l="1"/>
  <c r="D87" i="2" s="1"/>
  <c r="J20" i="23" s="1"/>
  <c r="K20" i="23" s="1"/>
  <c r="D75" i="2" l="1"/>
  <c r="N1" i="14"/>
  <c r="D118" i="2" l="1"/>
  <c r="L1" i="14" s="1"/>
  <c r="G22" i="23"/>
  <c r="G23" i="23" s="1"/>
</calcChain>
</file>

<file path=xl/comments1.xml><?xml version="1.0" encoding="utf-8"?>
<comments xmlns="http://schemas.openxmlformats.org/spreadsheetml/2006/main">
  <authors>
    <author>Pavol Saloky</author>
  </authors>
  <commentList>
    <comment ref="I1" authorId="0">
      <text>
        <r>
          <rPr>
            <b/>
            <sz val="9"/>
            <color indexed="81"/>
            <rFont val="Tahoma"/>
            <family val="2"/>
            <charset val="238"/>
          </rPr>
          <t>nenulové hodnoty zaradiť do príslušného riadku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Jana Hudáková</author>
  </authors>
  <commentList>
    <comment ref="I302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oprava 11.3.2013 - prehodené na účet 544 (iba vo výkazoch)</t>
        </r>
      </text>
    </comment>
  </commentList>
</comments>
</file>

<file path=xl/comments3.xml><?xml version="1.0" encoding="utf-8"?>
<comments xmlns="http://schemas.openxmlformats.org/spreadsheetml/2006/main">
  <authors>
    <author>Jana Hudáková</author>
  </authors>
  <commentList>
    <comment ref="M33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pred precenenim krvi</t>
        </r>
      </text>
    </comment>
  </commentList>
</comments>
</file>

<file path=xl/comments4.xml><?xml version="1.0" encoding="utf-8"?>
<comments xmlns="http://schemas.openxmlformats.org/spreadsheetml/2006/main">
  <authors>
    <author>Jana Hudáková</author>
  </authors>
  <commentList>
    <comment ref="G1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rozdiel kvoli tomu, ze pri vypocte podielu nakladov z prevadzky sa nezaokruhlovali vypocityne naklady na 2 desatinne miesta.
n/m</t>
        </r>
      </text>
    </comment>
  </commentList>
</comments>
</file>

<file path=xl/comments5.xml><?xml version="1.0" encoding="utf-8"?>
<comments xmlns="http://schemas.openxmlformats.org/spreadsheetml/2006/main">
  <authors>
    <author>Jana Hudáková</author>
  </authors>
  <commentList>
    <comment ref="E111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suma zahrna dobropis v sume 12 vystaveny pre HE as z fakturacie krvnej plazmy z dovodu upravy ceny plazmy</t>
        </r>
      </text>
    </comment>
  </commentList>
</comments>
</file>

<file path=xl/comments6.xml><?xml version="1.0" encoding="utf-8"?>
<comments xmlns="http://schemas.openxmlformats.org/spreadsheetml/2006/main">
  <authors>
    <author>Jana Hudáková</author>
  </authors>
  <commentList>
    <comment ref="K10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v roku 2014 v poznamkach su vykazane pod "ostatne"</t>
        </r>
      </text>
    </comment>
    <comment ref="K12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pre ucely detailnejsieho vykazania v poznamkach 2014 som tuto sumu rozbila na - pranie, likdivdaciu odpadu, LSPP a ine zdr. sluzby a zvysok ostava na ostatnom</t>
        </r>
      </text>
    </comment>
  </commentList>
</comments>
</file>

<file path=xl/sharedStrings.xml><?xml version="1.0" encoding="utf-8"?>
<sst xmlns="http://schemas.openxmlformats.org/spreadsheetml/2006/main" count="6875" uniqueCount="3080">
  <si>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</si>
  <si>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</si>
  <si>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</si>
  <si>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</si>
  <si>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</si>
  <si>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</si>
  <si>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</si>
  <si>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</si>
  <si>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</si>
  <si>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</si>
  <si>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</si>
  <si>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</si>
  <si>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</si>
  <si>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</si>
  <si>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</si>
  <si>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</si>
  <si>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</si>
  <si>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</si>
  <si>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</si>
  <si>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</si>
  <si>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</si>
  <si>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</si>
  <si>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</si>
  <si>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</si>
  <si>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</si>
  <si>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009</t>
  </si>
  <si>
    <t>010</t>
  </si>
  <si>
    <t>Umelecké diela a zbierky                                              (032)</t>
  </si>
  <si>
    <t>011</t>
  </si>
  <si>
    <t>012</t>
  </si>
  <si>
    <t>013</t>
  </si>
  <si>
    <t>014</t>
  </si>
  <si>
    <t>015</t>
  </si>
  <si>
    <t>016</t>
  </si>
  <si>
    <t>017</t>
  </si>
  <si>
    <t>Ostatný dlhodobý hmotný majetok          029 - (089 +092AÚ)</t>
  </si>
  <si>
    <t>018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</si>
  <si>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</si>
  <si>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</si>
  <si>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</si>
  <si>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</si>
  <si>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</si>
  <si>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</si>
  <si>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</si>
  <si>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</si>
  <si>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</si>
  <si>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</si>
  <si>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</si>
  <si>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</si>
  <si>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</si>
  <si>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</si>
  <si>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</si>
  <si>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</si>
  <si>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</si>
  <si>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</si>
  <si>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</si>
  <si>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</si>
  <si>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</si>
  <si>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</si>
  <si>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</si>
  <si>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</si>
  <si>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</si>
  <si>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</si>
  <si>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</si>
  <si>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</si>
  <si>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</si>
  <si>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</si>
  <si>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</si>
  <si>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</si>
  <si>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</si>
  <si>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</si>
  <si>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</si>
  <si>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</si>
  <si>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</si>
  <si>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</si>
  <si>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</si>
  <si>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</si>
  <si>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</si>
  <si>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</si>
  <si>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</si>
  <si>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</si>
  <si>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</si>
  <si>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</si>
  <si>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</si>
  <si>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</si>
  <si>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</si>
  <si>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</si>
  <si>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</si>
  <si>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</si>
  <si>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</si>
  <si>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</si>
  <si>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</si>
  <si>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</si>
  <si>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</si>
  <si>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</si>
  <si>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</si>
  <si>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</si>
  <si>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</si>
  <si>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</si>
  <si>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</si>
  <si>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</si>
  <si>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</si>
  <si>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</si>
  <si>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</si>
  <si>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</si>
  <si>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</si>
  <si>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</si>
  <si>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</si>
  <si>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</si>
  <si>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</si>
  <si>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</si>
  <si>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</si>
  <si>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</si>
  <si>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</si>
  <si>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</si>
  <si>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</si>
  <si>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</si>
  <si>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060</t>
  </si>
  <si>
    <t>Strana pasív</t>
  </si>
  <si>
    <t>A. VLASTNÉ ZDROJE KRYTIA MAJETKU  SPOLU                                     r. 062+ r. 068 + r. 072 + r. 073</t>
  </si>
  <si>
    <t>061</t>
  </si>
  <si>
    <t>062</t>
  </si>
  <si>
    <t>063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</si>
  <si>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</si>
  <si>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</si>
  <si>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</si>
  <si>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</si>
  <si>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</si>
  <si>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</si>
  <si>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</si>
  <si>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068</t>
  </si>
  <si>
    <t>069</t>
  </si>
  <si>
    <t>070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</si>
  <si>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</si>
  <si>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</si>
  <si>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</si>
  <si>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</si>
  <si>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</si>
  <si>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</si>
  <si>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</si>
  <si>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>075</t>
  </si>
  <si>
    <t>076</t>
  </si>
  <si>
    <t>077</t>
  </si>
  <si>
    <t>Krátkodobé rezervy                         (323 + 451AÚ + 459AÚ)</t>
  </si>
  <si>
    <t>078</t>
  </si>
  <si>
    <t>079</t>
  </si>
  <si>
    <t>080</t>
  </si>
  <si>
    <t>081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</si>
  <si>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</si>
  <si>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</si>
  <si>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</si>
  <si>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</si>
  <si>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</si>
  <si>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</si>
  <si>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</si>
  <si>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</si>
  <si>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</si>
  <si>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</si>
  <si>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</si>
  <si>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</si>
  <si>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</si>
  <si>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</si>
  <si>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</si>
  <si>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</si>
  <si>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091</t>
  </si>
  <si>
    <t>092</t>
  </si>
  <si>
    <t>Záväzky z upísaných nesplatených cenných papierov a vkladov                                                                          (367)</t>
  </si>
  <si>
    <t>093</t>
  </si>
  <si>
    <t>094</t>
  </si>
  <si>
    <t>095</t>
  </si>
  <si>
    <t>Ostatné záväzky            (379 + 373 AÚ + 474 AÚ + 479 AÚ)</t>
  </si>
  <si>
    <t>096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</si>
  <si>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</si>
  <si>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</si>
  <si>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</si>
  <si>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</si>
  <si>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</si>
  <si>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100</t>
  </si>
  <si>
    <t>101</t>
  </si>
  <si>
    <t>102</t>
  </si>
  <si>
    <t>103</t>
  </si>
  <si>
    <t>VLASTNÉ ZDROJE A CUDZIE ZDROJE SPOLU  r.061+ r.074 + r.101</t>
  </si>
  <si>
    <t>104</t>
  </si>
  <si>
    <t>c</t>
  </si>
  <si>
    <t xml:space="preserve">(r. 75 - (r. 76 + r. 77) ) (+/-)                     </t>
  </si>
  <si>
    <t>78</t>
  </si>
  <si>
    <t xml:space="preserve">Výsledok hospodárenia po zdanení </t>
  </si>
  <si>
    <t>77</t>
  </si>
  <si>
    <t>Dodatočné odvody dane z príjmov</t>
  </si>
  <si>
    <t>595</t>
  </si>
  <si>
    <t>76</t>
  </si>
  <si>
    <t>Daň z príjmov</t>
  </si>
  <si>
    <t>591</t>
  </si>
  <si>
    <t>r. 74 - r. 38</t>
  </si>
  <si>
    <t>75</t>
  </si>
  <si>
    <t>Výsledok hospodárenia pred zdanením</t>
  </si>
  <si>
    <t>74</t>
  </si>
  <si>
    <t xml:space="preserve">Účtová trieda 6 spolu           r. 39 až r. 73 </t>
  </si>
  <si>
    <t>73</t>
  </si>
  <si>
    <t xml:space="preserve">Dotácie </t>
  </si>
  <si>
    <t>691</t>
  </si>
  <si>
    <t>72</t>
  </si>
  <si>
    <t>Prijaté príspevky z verejných zbierok</t>
  </si>
  <si>
    <t>71</t>
  </si>
  <si>
    <t>Príspevky z podielu zaplatenej dane</t>
  </si>
  <si>
    <t>665</t>
  </si>
  <si>
    <t>70</t>
  </si>
  <si>
    <t>Prijaté členské príspevky</t>
  </si>
  <si>
    <t>664</t>
  </si>
  <si>
    <t>69</t>
  </si>
  <si>
    <t>Prijaté príspevky od fyzických osôb</t>
  </si>
  <si>
    <t>663</t>
  </si>
  <si>
    <t>68</t>
  </si>
  <si>
    <t>Prijaté príspevky od iných organizácií</t>
  </si>
  <si>
    <t>662</t>
  </si>
  <si>
    <t>67</t>
  </si>
  <si>
    <t>Prijaté príspevky od organizačných zložiek</t>
  </si>
  <si>
    <t>661</t>
  </si>
  <si>
    <t>66</t>
  </si>
  <si>
    <t>Výnosy z nájmu majetku</t>
  </si>
  <si>
    <t>658</t>
  </si>
  <si>
    <t>65</t>
  </si>
  <si>
    <t>Výnosy z precenenia cenných papierov</t>
  </si>
  <si>
    <t>657</t>
  </si>
  <si>
    <t>64</t>
  </si>
  <si>
    <t>Výnosy z použitia fondu</t>
  </si>
  <si>
    <t>656</t>
  </si>
  <si>
    <t>63</t>
  </si>
  <si>
    <t>Výnosy z krátkodobého finančného majetku</t>
  </si>
  <si>
    <t>655</t>
  </si>
  <si>
    <t>62</t>
  </si>
  <si>
    <t>Tržby z predaja materiálu</t>
  </si>
  <si>
    <t>654</t>
  </si>
  <si>
    <t>61</t>
  </si>
  <si>
    <t>Tržby z predaja cenných papierov a podielov</t>
  </si>
  <si>
    <t>653</t>
  </si>
  <si>
    <t>60</t>
  </si>
  <si>
    <t>Výnosy z dlhodobého finančného majetku</t>
  </si>
  <si>
    <t>652</t>
  </si>
  <si>
    <t>59</t>
  </si>
  <si>
    <t>Tržby z predaja dlhodobého nehmotného majetku a dlhodobého hmotného majetku</t>
  </si>
  <si>
    <t>651</t>
  </si>
  <si>
    <t>58</t>
  </si>
  <si>
    <t>Iné ostatné výnosy</t>
  </si>
  <si>
    <t>649</t>
  </si>
  <si>
    <t>57</t>
  </si>
  <si>
    <t>Zákonné  poplatky</t>
  </si>
  <si>
    <t>648</t>
  </si>
  <si>
    <t>56</t>
  </si>
  <si>
    <t>Osobitné výnosy</t>
  </si>
  <si>
    <t>647</t>
  </si>
  <si>
    <t>55</t>
  </si>
  <si>
    <t>Prijaté dary</t>
  </si>
  <si>
    <t>646</t>
  </si>
  <si>
    <t>54</t>
  </si>
  <si>
    <t>Kurzové zisky</t>
  </si>
  <si>
    <t>645</t>
  </si>
  <si>
    <t>53</t>
  </si>
  <si>
    <t>Úroky</t>
  </si>
  <si>
    <t>644</t>
  </si>
  <si>
    <t>52</t>
  </si>
  <si>
    <t>Platby za odpísané pohľadávky</t>
  </si>
  <si>
    <t>643</t>
  </si>
  <si>
    <t>51</t>
  </si>
  <si>
    <t>Ostatné pokuty a penále</t>
  </si>
  <si>
    <t>642</t>
  </si>
  <si>
    <t>50</t>
  </si>
  <si>
    <t>Zmluvné pokuty a penále</t>
  </si>
  <si>
    <t>641</t>
  </si>
  <si>
    <t>49</t>
  </si>
  <si>
    <t>Aktivácia dlhodobého hmotného majetku</t>
  </si>
  <si>
    <t>624</t>
  </si>
  <si>
    <t>48</t>
  </si>
  <si>
    <t>Aktivácia dlhodobého nehmotného majetku</t>
  </si>
  <si>
    <t>623</t>
  </si>
  <si>
    <t>47</t>
  </si>
  <si>
    <t>Aktivácia vnútroorganizačných služieb</t>
  </si>
  <si>
    <t>622</t>
  </si>
  <si>
    <t>46</t>
  </si>
  <si>
    <t>Aktivácia materiálu a tovaru</t>
  </si>
  <si>
    <t>621</t>
  </si>
  <si>
    <t>45</t>
  </si>
  <si>
    <t>Zmena stavu zásob zvierat</t>
  </si>
  <si>
    <t>614</t>
  </si>
  <si>
    <t>44</t>
  </si>
  <si>
    <t>Zmena stavu zásob výrobkov</t>
  </si>
  <si>
    <t>613</t>
  </si>
  <si>
    <t>43</t>
  </si>
  <si>
    <t>Zmena stavu zásob polotovarov</t>
  </si>
  <si>
    <t>612</t>
  </si>
  <si>
    <t>42</t>
  </si>
  <si>
    <t>Zmena stavu zásob nedokončenej výroby</t>
  </si>
  <si>
    <t>611</t>
  </si>
  <si>
    <t>41</t>
  </si>
  <si>
    <t>604</t>
  </si>
  <si>
    <t>40</t>
  </si>
  <si>
    <t>Tržby z predaja služieb</t>
  </si>
  <si>
    <t>602</t>
  </si>
  <si>
    <t>39</t>
  </si>
  <si>
    <t>Tržby za vlastné výrobky</t>
  </si>
  <si>
    <t>601</t>
  </si>
  <si>
    <t>Spolu</t>
  </si>
  <si>
    <t>Podnikateľská zdaňovaná</t>
  </si>
  <si>
    <t>Hlavná nezdaňovaná</t>
  </si>
  <si>
    <t>Činnosť</t>
  </si>
  <si>
    <t xml:space="preserve">Číslo riadku </t>
  </si>
  <si>
    <t>Výnosy</t>
  </si>
  <si>
    <t>Číslo účtu</t>
  </si>
  <si>
    <t>38</t>
  </si>
  <si>
    <t>Účtová trieda 5 spolu                     r. 01 až r. 37</t>
  </si>
  <si>
    <t>37</t>
  </si>
  <si>
    <t>Poskytnuté príspevky z verejnej zbierky</t>
  </si>
  <si>
    <t>567</t>
  </si>
  <si>
    <t>36</t>
  </si>
  <si>
    <t>Poskytnuté príspevky z podielu zaplatenej dane</t>
  </si>
  <si>
    <t>35</t>
  </si>
  <si>
    <t>Poskytnuté príspevky fyzickým osobám</t>
  </si>
  <si>
    <t>563</t>
  </si>
  <si>
    <t>34</t>
  </si>
  <si>
    <t>Poskytnuté príspevky iným účtovným jednotkám</t>
  </si>
  <si>
    <t>562</t>
  </si>
  <si>
    <t>33</t>
  </si>
  <si>
    <t>Poskytnuté príspevky organizačným zložkám</t>
  </si>
  <si>
    <t>561</t>
  </si>
  <si>
    <t>32</t>
  </si>
  <si>
    <t>Tvorba a zúčtovanie opravných položiek</t>
  </si>
  <si>
    <t>558</t>
  </si>
  <si>
    <t>31</t>
  </si>
  <si>
    <t>Náklady na precenenie cenných papierov</t>
  </si>
  <si>
    <t>557</t>
  </si>
  <si>
    <t>30</t>
  </si>
  <si>
    <t>Tvorba fondov</t>
  </si>
  <si>
    <t>556</t>
  </si>
  <si>
    <t>29</t>
  </si>
  <si>
    <t>Náklady na krátkodobý finančný majetok</t>
  </si>
  <si>
    <t>555</t>
  </si>
  <si>
    <t>28</t>
  </si>
  <si>
    <t>Predaný materiál</t>
  </si>
  <si>
    <t>554</t>
  </si>
  <si>
    <t>27</t>
  </si>
  <si>
    <t>Predané cenné papiere</t>
  </si>
  <si>
    <t>553</t>
  </si>
  <si>
    <t>26</t>
  </si>
  <si>
    <t xml:space="preserve">Zostatková cena predaného dlhodobého nehmotného majetku a dlhodobého hmotného majetku  </t>
  </si>
  <si>
    <t>552</t>
  </si>
  <si>
    <t>25</t>
  </si>
  <si>
    <t>Odpisy dlhodobého nehmotného majetku a dlhodobého hmotného majetku</t>
  </si>
  <si>
    <t>24</t>
  </si>
  <si>
    <t>Iné ostatné náklady</t>
  </si>
  <si>
    <t>549</t>
  </si>
  <si>
    <t>23</t>
  </si>
  <si>
    <t>Manká a škody</t>
  </si>
  <si>
    <t>548</t>
  </si>
  <si>
    <t>22</t>
  </si>
  <si>
    <t>Osobitné náklady</t>
  </si>
  <si>
    <t>547</t>
  </si>
  <si>
    <t>21</t>
  </si>
  <si>
    <t>Dary</t>
  </si>
  <si>
    <t>546</t>
  </si>
  <si>
    <t>20</t>
  </si>
  <si>
    <t>Kurzové straty</t>
  </si>
  <si>
    <t>545</t>
  </si>
  <si>
    <t>19</t>
  </si>
  <si>
    <t>544</t>
  </si>
  <si>
    <t>18</t>
  </si>
  <si>
    <t>Odpísanie pohľadávky</t>
  </si>
  <si>
    <t>543</t>
  </si>
  <si>
    <t>17</t>
  </si>
  <si>
    <t>542</t>
  </si>
  <si>
    <t>16</t>
  </si>
  <si>
    <t>541</t>
  </si>
  <si>
    <t>15</t>
  </si>
  <si>
    <t>Ostatné dane a poplatky</t>
  </si>
  <si>
    <t>538</t>
  </si>
  <si>
    <t>14</t>
  </si>
  <si>
    <t>Daň z nehnuteľností</t>
  </si>
  <si>
    <t>532</t>
  </si>
  <si>
    <t>13</t>
  </si>
  <si>
    <t>Daň z motorových vozidiel</t>
  </si>
  <si>
    <t>531</t>
  </si>
  <si>
    <t>12</t>
  </si>
  <si>
    <t>Ostatné sociálne náklady</t>
  </si>
  <si>
    <t>528</t>
  </si>
  <si>
    <t>11</t>
  </si>
  <si>
    <t>Zákonné sociálne náklady</t>
  </si>
  <si>
    <t>527</t>
  </si>
  <si>
    <t>10</t>
  </si>
  <si>
    <t xml:space="preserve">Ostatné sociálne poistenie </t>
  </si>
  <si>
    <t>525</t>
  </si>
  <si>
    <t>09</t>
  </si>
  <si>
    <t>Zákonné sociálne poistenie a zdravotné poistenie</t>
  </si>
  <si>
    <t>524</t>
  </si>
  <si>
    <t>08</t>
  </si>
  <si>
    <t>Mzdové náklady</t>
  </si>
  <si>
    <t>521</t>
  </si>
  <si>
    <t>07</t>
  </si>
  <si>
    <t>Ostatné služby</t>
  </si>
  <si>
    <t>518</t>
  </si>
  <si>
    <t>06</t>
  </si>
  <si>
    <t>Náklady na reprezentáciu</t>
  </si>
  <si>
    <t>513</t>
  </si>
  <si>
    <t>05</t>
  </si>
  <si>
    <t>Cestovné</t>
  </si>
  <si>
    <t>512</t>
  </si>
  <si>
    <t>04</t>
  </si>
  <si>
    <t>Opravy a udržiavanie</t>
  </si>
  <si>
    <t>511</t>
  </si>
  <si>
    <t>03</t>
  </si>
  <si>
    <t>Predaný tovar</t>
  </si>
  <si>
    <t>504</t>
  </si>
  <si>
    <t>02</t>
  </si>
  <si>
    <t>Spotreba energie</t>
  </si>
  <si>
    <t>502</t>
  </si>
  <si>
    <t>01</t>
  </si>
  <si>
    <t>Spotreba materiálu</t>
  </si>
  <si>
    <t>501</t>
  </si>
  <si>
    <t>Náklady</t>
  </si>
  <si>
    <t>Tržby za predaný tovar</t>
  </si>
  <si>
    <t>551</t>
  </si>
  <si>
    <t>565</t>
  </si>
  <si>
    <t>667</t>
  </si>
  <si>
    <t>riadok</t>
  </si>
  <si>
    <t>Mesiac</t>
  </si>
  <si>
    <t>Rok</t>
  </si>
  <si>
    <t>mimoriadna</t>
  </si>
  <si>
    <t>PSČ</t>
  </si>
  <si>
    <t>Číslo telefónu</t>
  </si>
  <si>
    <t>X</t>
  </si>
  <si>
    <t>DIČ :</t>
  </si>
  <si>
    <t>e-mail :</t>
  </si>
  <si>
    <t>003B</t>
  </si>
  <si>
    <t>003K</t>
  </si>
  <si>
    <t>004B</t>
  </si>
  <si>
    <t>004K</t>
  </si>
  <si>
    <t>005B</t>
  </si>
  <si>
    <t>005K</t>
  </si>
  <si>
    <t>006B</t>
  </si>
  <si>
    <t>006K</t>
  </si>
  <si>
    <t>007B</t>
  </si>
  <si>
    <t>007K</t>
  </si>
  <si>
    <t>008B</t>
  </si>
  <si>
    <t>010B</t>
  </si>
  <si>
    <t>011B</t>
  </si>
  <si>
    <t>012B</t>
  </si>
  <si>
    <t>012K</t>
  </si>
  <si>
    <t>013B</t>
  </si>
  <si>
    <t>013K</t>
  </si>
  <si>
    <t>014B</t>
  </si>
  <si>
    <t>014K</t>
  </si>
  <si>
    <t>015B</t>
  </si>
  <si>
    <t>015K</t>
  </si>
  <si>
    <t>016B</t>
  </si>
  <si>
    <t>016K</t>
  </si>
  <si>
    <t>017B</t>
  </si>
  <si>
    <t>017K</t>
  </si>
  <si>
    <t>018B</t>
  </si>
  <si>
    <t>018K</t>
  </si>
  <si>
    <t>019B</t>
  </si>
  <si>
    <t>019K</t>
  </si>
  <si>
    <t>020B</t>
  </si>
  <si>
    <t>022B</t>
  </si>
  <si>
    <t>023B</t>
  </si>
  <si>
    <t>024B</t>
  </si>
  <si>
    <t>025B</t>
  </si>
  <si>
    <t>026B</t>
  </si>
  <si>
    <t>027B</t>
  </si>
  <si>
    <t>028B</t>
  </si>
  <si>
    <t>031B</t>
  </si>
  <si>
    <t>031K</t>
  </si>
  <si>
    <t>032B</t>
  </si>
  <si>
    <t>032K</t>
  </si>
  <si>
    <t>033B</t>
  </si>
  <si>
    <t>033K</t>
  </si>
  <si>
    <t>034B</t>
  </si>
  <si>
    <t>034K</t>
  </si>
  <si>
    <t>035B</t>
  </si>
  <si>
    <t>035K</t>
  </si>
  <si>
    <t>052B</t>
  </si>
  <si>
    <t>053B</t>
  </si>
  <si>
    <t>055B</t>
  </si>
  <si>
    <t>056B</t>
  </si>
  <si>
    <t>058B</t>
  </si>
  <si>
    <t>SYA</t>
  </si>
  <si>
    <t>ANA</t>
  </si>
  <si>
    <t>description</t>
  </si>
  <si>
    <t>Softvér</t>
  </si>
  <si>
    <t>Stavby</t>
  </si>
  <si>
    <t>Dopravné prostriedky</t>
  </si>
  <si>
    <t>Oprávky k stavbám</t>
  </si>
  <si>
    <t>Oprávky k dopravným prostriedkom</t>
  </si>
  <si>
    <t>Náklady budúcich období</t>
  </si>
  <si>
    <t>Príjmy budúcich období</t>
  </si>
  <si>
    <t>Základné imanie</t>
  </si>
  <si>
    <t>Ostatné výnosy</t>
  </si>
  <si>
    <t>0xx</t>
  </si>
  <si>
    <t>Dlhodobý majetok</t>
  </si>
  <si>
    <t>01x</t>
  </si>
  <si>
    <t>Dlhodobý nehmotný majetok</t>
  </si>
  <si>
    <t>Nehmotné  výsledky z vývojovej a obdobnej činnosti</t>
  </si>
  <si>
    <t>Oceniteľné práva</t>
  </si>
  <si>
    <t>Drobný dlhodobý nehmotný majetok</t>
  </si>
  <si>
    <t>Ostatný dlhodobý nehmotný majetok</t>
  </si>
  <si>
    <t>02x</t>
  </si>
  <si>
    <t>Dlhodobý hmotný majetok - odpisovaný</t>
  </si>
  <si>
    <t>Samostatné hnuteľné veci a súbory hnuteľných vecí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</si>
  <si>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</si>
  <si>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</si>
  <si>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</si>
  <si>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</si>
  <si>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03x</t>
  </si>
  <si>
    <t>Dlhodobý hmotný majetok - neodpisovaný</t>
  </si>
  <si>
    <t>Pozemky</t>
  </si>
  <si>
    <t>Umelecké diela a zbierky</t>
  </si>
  <si>
    <t>04x</t>
  </si>
  <si>
    <t>Obstaranie dlhodobého majetku</t>
  </si>
  <si>
    <t>Obstaranie dlhodobého nehmotného  majetku</t>
  </si>
  <si>
    <t>Obstaranie dlhodobého hmotného majetku</t>
  </si>
  <si>
    <t>Obstaranie dlhodobého finančného majetku</t>
  </si>
  <si>
    <t>05x</t>
  </si>
  <si>
    <t>Poskytnuté preddavky na dlhodobý majetok</t>
  </si>
  <si>
    <t>Poskytnuté preddavky na dlhodobý nehmotný  majetok</t>
  </si>
  <si>
    <t>Poskytnuté preddavky na dlhodobý hmotný majetok</t>
  </si>
  <si>
    <t>Poskytnuté preddavky na dlhodobý finančný majetok</t>
  </si>
  <si>
    <t>06x</t>
  </si>
  <si>
    <t>Finančné investície</t>
  </si>
  <si>
    <t>Podielové cenné papiere a podiely v obchodných spoločnostiach v ovládanej osobe</t>
  </si>
  <si>
    <t>Podielové cenné papiere a podiely v obchodných spoločnostiach s podstatným vplyvom</t>
  </si>
  <si>
    <t>Dlhové cenné papiere držané do splatnosti</t>
  </si>
  <si>
    <t>Pôžičky podnikom v skupine</t>
  </si>
  <si>
    <t>Ostatné pôžičky</t>
  </si>
  <si>
    <t>Ostatný dlhodobý  finančný majetok</t>
  </si>
  <si>
    <t>07x</t>
  </si>
  <si>
    <t>Oprávky k dlhodobému nehmotnému majetku</t>
  </si>
  <si>
    <t>Oprávky k nehmotnému výsledku z vývojovej a obdobnej činnosti</t>
  </si>
  <si>
    <t>Oprávky k  softvéru</t>
  </si>
  <si>
    <t>Oprávky k  oceniteľným právam</t>
  </si>
  <si>
    <t>Oprávky k drobnému dlhodobému nehmotnému majetku</t>
  </si>
  <si>
    <t>Oprávky k  ostatnému dlhodobému nehmotnému majetku</t>
  </si>
  <si>
    <t>08x</t>
  </si>
  <si>
    <t>Oprávky k dlhodobému hmotnému majetku</t>
  </si>
  <si>
    <t>Oprávky k  samostatným hnuteľným veciam a k súborom hnuteľných vecí</t>
  </si>
  <si>
    <t>Oprávky k pestovateľským celkom a trvalým porastom</t>
  </si>
  <si>
    <t>Oprávky k základnému stádu a ťažným zvieratám</t>
  </si>
  <si>
    <t>Oprávky k drobnému dlhodobému hmotnému majetku</t>
  </si>
  <si>
    <t>Oprávky k ostatnému  dlhodobému hmotnému majetku</t>
  </si>
  <si>
    <t>09x</t>
  </si>
  <si>
    <t>Opravné položky k dlhodobému majetku</t>
  </si>
  <si>
    <t>Opravná položka k dlhodobému nehmotnému majetku</t>
  </si>
  <si>
    <t>Opravná položka k dlhodobému hmotnému majetku</t>
  </si>
  <si>
    <t>Opravná položka k dlhodobému nedokončenému nehmotnému majetku</t>
  </si>
  <si>
    <t>Opravná položka k dlhodobému nedokončenému hmotnému majetku</t>
  </si>
  <si>
    <t>Opravná položka k  poskytnutým preddavkom</t>
  </si>
  <si>
    <t>Opravná položka k dlhodobému finančnému majetku</t>
  </si>
  <si>
    <t>1xx</t>
  </si>
  <si>
    <t>Zásoby</t>
  </si>
  <si>
    <t>11x</t>
  </si>
  <si>
    <t>Materiál</t>
  </si>
  <si>
    <t>Obstaranie materiálu</t>
  </si>
  <si>
    <t>Materiál na sklade</t>
  </si>
  <si>
    <t>Materiál na ceste</t>
  </si>
  <si>
    <t>12x</t>
  </si>
  <si>
    <t>Zásoby vlastnej výroby</t>
  </si>
  <si>
    <t>Nedokončená výroba</t>
  </si>
  <si>
    <t>Polotovary vlastnej výroby</t>
  </si>
  <si>
    <t>Výrobky</t>
  </si>
  <si>
    <t>Zvieratá</t>
  </si>
  <si>
    <t>13x</t>
  </si>
  <si>
    <t>Tovar</t>
  </si>
  <si>
    <t>Obstaranie tovaru</t>
  </si>
  <si>
    <t>Tovar na sklade</t>
  </si>
  <si>
    <t>Tovar na ceste</t>
  </si>
  <si>
    <t>19x</t>
  </si>
  <si>
    <t>Opravné položky k zásobám</t>
  </si>
  <si>
    <t>Opravná položka k materiálu</t>
  </si>
  <si>
    <t>Opravná položka k nedokončenej výrobe</t>
  </si>
  <si>
    <t>Opravná položka k polotovarom vlastnej výroby</t>
  </si>
  <si>
    <t>Opravná položka k výrobkom</t>
  </si>
  <si>
    <t>Opravná položka k zvieratám</t>
  </si>
  <si>
    <t>Opravná položka k tovaru</t>
  </si>
  <si>
    <t>2xx</t>
  </si>
  <si>
    <t>Finančné účty</t>
  </si>
  <si>
    <t>21x</t>
  </si>
  <si>
    <t>Peniaze</t>
  </si>
  <si>
    <t>Pokladnica</t>
  </si>
  <si>
    <t>Ceniny</t>
  </si>
  <si>
    <t>22x</t>
  </si>
  <si>
    <t>Účty v bankách</t>
  </si>
  <si>
    <t>Bankové účty</t>
  </si>
  <si>
    <t>23x</t>
  </si>
  <si>
    <t>Bežné bankové účty</t>
  </si>
  <si>
    <t>Krátkodobé bankové úvery</t>
  </si>
  <si>
    <t>Eskontné úvery</t>
  </si>
  <si>
    <t>24x</t>
  </si>
  <si>
    <t>Iné krátkodobé finančné výpomoci</t>
  </si>
  <si>
    <t>Krátkodobé dlhopisy emitované účtovnou jednotkou</t>
  </si>
  <si>
    <t>Ostatné krátkodobé finančné výpomoci</t>
  </si>
  <si>
    <t>25x</t>
  </si>
  <si>
    <t>Krátkodobý finančný majetok</t>
  </si>
  <si>
    <t>Majetkové cenné papiere na obchodovanie</t>
  </si>
  <si>
    <t>Dlhové cenné papiere na obchodovanie</t>
  </si>
  <si>
    <t>Vlastné dlhopisy</t>
  </si>
  <si>
    <t>Dlhové cenné papiere so splatnosťou do jedného roka držané do splatnosti</t>
  </si>
  <si>
    <t>Ostatné realizovateľné cenné papiere</t>
  </si>
  <si>
    <t>Obstaranie krátkodobého finančného majetku</t>
  </si>
  <si>
    <t>26x</t>
  </si>
  <si>
    <t>Prevody medzi finančnými účtami</t>
  </si>
  <si>
    <t>Peniaze na ceste</t>
  </si>
  <si>
    <t>29x</t>
  </si>
  <si>
    <t>Opravné položky ku krátkodobému finančnému majetku</t>
  </si>
  <si>
    <t>3xx</t>
  </si>
  <si>
    <t>Zúčtovacie vzťahy</t>
  </si>
  <si>
    <t>31x</t>
  </si>
  <si>
    <t>Pohľadávky</t>
  </si>
  <si>
    <t>Odberatelia</t>
  </si>
  <si>
    <t>Zmenky na inkaso</t>
  </si>
  <si>
    <t>Pohľadávky za eskontované cenné papiere</t>
  </si>
  <si>
    <t>Poskytnuté prevádzkové preddavky</t>
  </si>
  <si>
    <t>Ostatné pohľadávky</t>
  </si>
  <si>
    <t>32x</t>
  </si>
  <si>
    <t>Záväzky</t>
  </si>
  <si>
    <t>Dodávatelia</t>
  </si>
  <si>
    <t>Zmenky na úhradu</t>
  </si>
  <si>
    <t>Krátkodobé rezervy</t>
  </si>
  <si>
    <t>Prijaté preddavky</t>
  </si>
  <si>
    <t>Ostatné záväzky</t>
  </si>
  <si>
    <t>Nevyfakturované dodávky</t>
  </si>
  <si>
    <t>33x</t>
  </si>
  <si>
    <t>Zúčtovanie so zamestnancami a inštitúciami</t>
  </si>
  <si>
    <t>Zamestnanci</t>
  </si>
  <si>
    <t>Ostatné záväzky voči zamestnancom</t>
  </si>
  <si>
    <t>Pohľadávky voči zamestnancom</t>
  </si>
  <si>
    <t>Zúčtovanie so Sociálnou poisťovňou a zdravotnými poisťovňami</t>
  </si>
  <si>
    <t>34x</t>
  </si>
  <si>
    <t>Zúčtovanie daní, dotácií a ostatné zúčtovanie</t>
  </si>
  <si>
    <t>Ostatné priame dane</t>
  </si>
  <si>
    <t>Daň z pridanej hodnoty</t>
  </si>
  <si>
    <t>Ostatné  dane a poplatky</t>
  </si>
  <si>
    <t>Dotácie a ostatné zúčtovanie so štátnym rozpočtom</t>
  </si>
  <si>
    <t>Dotácie a zúčtovanie s rozpočtami územnej samosprávy</t>
  </si>
  <si>
    <t>35x</t>
  </si>
  <si>
    <t xml:space="preserve">Pohľadávky z dôvodu združovania </t>
  </si>
  <si>
    <t>Pohľadávky voči účastníkom združení</t>
  </si>
  <si>
    <t>36x</t>
  </si>
  <si>
    <t>Záväzky voči združeniam a záväzky z upísaných nesplatených cenných papierov a vkladov</t>
  </si>
  <si>
    <t>Záväzky z upísaných nesplatených cenných papierov a vkladov</t>
  </si>
  <si>
    <t>Záväzky voči účastníkom združení</t>
  </si>
  <si>
    <t>37x</t>
  </si>
  <si>
    <t>Iné pohľadávky a záväzky</t>
  </si>
  <si>
    <t>Pohľadávky a záväzky z pevných termínových operácií</t>
  </si>
  <si>
    <t>Pohľadávky z dlhopisov emitovaných účtovnou jednotkou</t>
  </si>
  <si>
    <t>Iné pohľadávky</t>
  </si>
  <si>
    <t>Iné záväzky</t>
  </si>
  <si>
    <t>38x</t>
  </si>
  <si>
    <t>Časové rozlíšenie nákladov a výnosov</t>
  </si>
  <si>
    <t>Výdavky budúcich období</t>
  </si>
  <si>
    <t>Výnosy budúcich období</t>
  </si>
  <si>
    <t>39x</t>
  </si>
  <si>
    <t>Opravná položka k zúčtovacím vzťahom a vnútorné zúčtovanie</t>
  </si>
  <si>
    <t>Opravná položka k pohľadávkam</t>
  </si>
  <si>
    <t>Vnútorné zúčtovanie</t>
  </si>
  <si>
    <t>Spojovací účet pri združení</t>
  </si>
  <si>
    <t>4xx</t>
  </si>
  <si>
    <t>Imanie, fondy, výsledok hospodárenia a dlhodobé záväzky</t>
  </si>
  <si>
    <t>41x</t>
  </si>
  <si>
    <t>Fondy tvorené podľa osobitného predpisu</t>
  </si>
  <si>
    <t>Fond reprodukcie</t>
  </si>
  <si>
    <t>Oceňovacie rozdiely z precenenia majetku a záväzkov</t>
  </si>
  <si>
    <t>Oceňovacie rozdiely z precenenia kapitálových účastín</t>
  </si>
  <si>
    <t>42x</t>
  </si>
  <si>
    <t>Fondy tvorené zo zisku a prevedené výsledky hospodárenia</t>
  </si>
  <si>
    <t>Rezervný fond</t>
  </si>
  <si>
    <t>Fondy tvorené zo zisku</t>
  </si>
  <si>
    <t>Ostatné fondy</t>
  </si>
  <si>
    <t>Nevysporiadaný výsledok hospodárenia minulých rokov</t>
  </si>
  <si>
    <t>43x</t>
  </si>
  <si>
    <t>Výsledok hospodárenia</t>
  </si>
  <si>
    <t>Výsledok hospodárenia v schvaľovaní</t>
  </si>
  <si>
    <t>45x</t>
  </si>
  <si>
    <t>Rezervy</t>
  </si>
  <si>
    <t>Rezervy  zákonné</t>
  </si>
  <si>
    <t>Ostatné rezervy</t>
  </si>
  <si>
    <t>46x</t>
  </si>
  <si>
    <t>Dlhodobé bankové úvery</t>
  </si>
  <si>
    <t>47x</t>
  </si>
  <si>
    <t>Dlhodobé  záväzky</t>
  </si>
  <si>
    <t>Záväzky zo sociálneho fondu</t>
  </si>
  <si>
    <t>Vydané dlhopisy</t>
  </si>
  <si>
    <t>Záväzky z nájmu</t>
  </si>
  <si>
    <t>Dlhodobé prijaté preddavky</t>
  </si>
  <si>
    <t>Dlhodobé nevyfakturované dodávky</t>
  </si>
  <si>
    <t>Dlhodobé zmenky na úhradu</t>
  </si>
  <si>
    <t>Ostatné dlhodobé záväzky</t>
  </si>
  <si>
    <t>5xx</t>
  </si>
  <si>
    <t xml:space="preserve">Náklady  na činnosť </t>
  </si>
  <si>
    <t>50x</t>
  </si>
  <si>
    <t>Spotrebované nákupy</t>
  </si>
  <si>
    <t>51x</t>
  </si>
  <si>
    <t>Služby</t>
  </si>
  <si>
    <t>Opravy a udržiavanie</t>
  </si>
  <si>
    <t>52x</t>
  </si>
  <si>
    <t>Osobné náklady</t>
  </si>
  <si>
    <t>Ostatné sociálne poistenie</t>
  </si>
  <si>
    <t>53x</t>
  </si>
  <si>
    <t>Dane a poplatky</t>
  </si>
  <si>
    <t>Daň z motorových vozidiel</t>
  </si>
  <si>
    <t>Daň z nehnuteľností</t>
  </si>
  <si>
    <t>Ostatné dane a poplatky</t>
  </si>
  <si>
    <t>54x</t>
  </si>
  <si>
    <t>Ostatné náklady</t>
  </si>
  <si>
    <t>Zmluvné pokuty a penále</t>
  </si>
  <si>
    <t>Ostatné pokuty a penále</t>
  </si>
  <si>
    <t>Manká a škody</t>
  </si>
  <si>
    <t>55x</t>
  </si>
  <si>
    <t>Odpisy, predaný majetok a opravné položky</t>
  </si>
  <si>
    <t>Odpisy dlhodobého nehmotného majetku a dlhodobého hmotného majetku</t>
  </si>
  <si>
    <t>Zostatková  cena predaného dlhodobého nehmotného majetku a dlhodobého hmotného majetku</t>
  </si>
  <si>
    <t>Náklady na precenenie cenných papierov</t>
  </si>
  <si>
    <t>Tvorba a zúčtovanie opravných položiek</t>
  </si>
  <si>
    <t>56x</t>
  </si>
  <si>
    <t>Poskytnuté príspevky</t>
  </si>
  <si>
    <t>Poskytnuté príspevky z podielu zaplatenej dane</t>
  </si>
  <si>
    <t>Poskytnuté príspevky z verejnej zbierky</t>
  </si>
  <si>
    <t>57 – Vnútroorganizačné prevody nákladov</t>
  </si>
  <si>
    <t>59x</t>
  </si>
  <si>
    <t>Daň z príjmov</t>
  </si>
  <si>
    <t>Dodatočné odvody dane z príjmov</t>
  </si>
  <si>
    <t>6xx</t>
  </si>
  <si>
    <t>60x</t>
  </si>
  <si>
    <t>Tržby za vlastné výkony a tovar</t>
  </si>
  <si>
    <t>Tržby z predaja služieb</t>
  </si>
  <si>
    <t>61x</t>
  </si>
  <si>
    <t>Zmena stavu zásob vlastnej výroby</t>
  </si>
  <si>
    <t>62x</t>
  </si>
  <si>
    <t>Aktivácia</t>
  </si>
  <si>
    <t>Aktivácia materiálu a tovaru</t>
  </si>
  <si>
    <t>Aktivácia vnútroorganizačných  služieb</t>
  </si>
  <si>
    <t>64x</t>
  </si>
  <si>
    <t>Zákonné poplatky</t>
  </si>
  <si>
    <t>65x</t>
  </si>
  <si>
    <t>Tržby z predaja  a prenájmu majetku</t>
  </si>
  <si>
    <t>Tržby z predaja dlhodobého nehmotného majetku a dlhodobého hmotného majetku</t>
  </si>
  <si>
    <t>Výnosy z  dlhodobého finančného majetku</t>
  </si>
  <si>
    <t>Tržby z predaja cenných papierov a podielov</t>
  </si>
  <si>
    <t>Tržby z predaja materiálu</t>
  </si>
  <si>
    <t>Výnosy z krátkodobého finančného majetku</t>
  </si>
  <si>
    <t>Výnosy z použitia fondu</t>
  </si>
  <si>
    <t>Výnosy z precenenia cenných papierov</t>
  </si>
  <si>
    <t>Výnosy z nájmu majetku</t>
  </si>
  <si>
    <t>66x</t>
  </si>
  <si>
    <t>Prijaté príspevky</t>
  </si>
  <si>
    <t>Príspevky z podielu zaplatenej dane</t>
  </si>
  <si>
    <t>Prijaté príspevky z verejných  zbierok</t>
  </si>
  <si>
    <t>67 – Vnútroorganizačné prevody výnosov</t>
  </si>
  <si>
    <t>69x</t>
  </si>
  <si>
    <t>Dotácie</t>
  </si>
  <si>
    <t>Imanie a fondy</t>
  </si>
  <si>
    <t>úprava</t>
  </si>
  <si>
    <t>Opravná položka - nehmotné výsledky činnosti</t>
  </si>
  <si>
    <t>Opravná položka - softvér</t>
  </si>
  <si>
    <t>Opravná položka - oceniteľné práva</t>
  </si>
  <si>
    <t>Opravná položka - ostatný dlhodobý nehmotný majetok</t>
  </si>
  <si>
    <t>Opravná položka - stavby</t>
  </si>
  <si>
    <t>Opravná položka - samostatne hnuteľné veci</t>
  </si>
  <si>
    <t>Opravná položka - dopravné prostriedky</t>
  </si>
  <si>
    <t>Opravná položka - pestovateľské celky</t>
  </si>
  <si>
    <t>Opravná položka - zvieratá</t>
  </si>
  <si>
    <t>Opravná položka - drobný dlhodobý HM</t>
  </si>
  <si>
    <t>Opravná položka - ostatný dlhodobý HM</t>
  </si>
  <si>
    <t>x</t>
  </si>
  <si>
    <t>008K</t>
  </si>
  <si>
    <t>020K</t>
  </si>
  <si>
    <t>Opravná položka - preddavky na dlhodobý nehmotný majetok</t>
  </si>
  <si>
    <t>Opravná položka - preddavky na dlhodobý hmotný majetok</t>
  </si>
  <si>
    <t>022K</t>
  </si>
  <si>
    <t>023K</t>
  </si>
  <si>
    <t>024K</t>
  </si>
  <si>
    <t>025K</t>
  </si>
  <si>
    <t>026K</t>
  </si>
  <si>
    <t>027K</t>
  </si>
  <si>
    <t>028K</t>
  </si>
  <si>
    <t>Opravná položka - podiely v ovládanej osobe</t>
  </si>
  <si>
    <t>Opravná položka - podiely podstatný vplyv</t>
  </si>
  <si>
    <t>Opravná položka - dlhové CP držané do splatnosti</t>
  </si>
  <si>
    <t>Opravná položka - pôžičky podnikom v skupine a ostatné pôžičky</t>
  </si>
  <si>
    <t>Opravná položka - ostatný dlhodobý finančný majetok</t>
  </si>
  <si>
    <t>Opravná položka - obstarane dlhodobého finančného majetku</t>
  </si>
  <si>
    <t>Opravná položka - poskytnuté preddavky na dlhodobý finančný majetok</t>
  </si>
  <si>
    <t>054B</t>
  </si>
  <si>
    <t>Bankové účty - dlhodobé</t>
  </si>
  <si>
    <t>Bankové účty - krátkodobé</t>
  </si>
  <si>
    <t>055K</t>
  </si>
  <si>
    <t>056K</t>
  </si>
  <si>
    <t>Opravná položka - krátkodobý finančný majetok</t>
  </si>
  <si>
    <t>Opravná položka - obstaranie krátkodobého finančného majetku</t>
  </si>
  <si>
    <t>038B</t>
  </si>
  <si>
    <t>043B</t>
  </si>
  <si>
    <t>Pohľadávky z obchodného styku - krátkodobé</t>
  </si>
  <si>
    <t>Pohľadávky z obchodného styku - dlhodobé</t>
  </si>
  <si>
    <t>Zmenky na inkaso - krátkodobé</t>
  </si>
  <si>
    <t>Zmenky na inkaso - dlhodobé</t>
  </si>
  <si>
    <t>Pohľadávky za eskontované cenné papiere - krátkodobé</t>
  </si>
  <si>
    <t>Pohľadávky za eskontované cenné papiere - dlhodobé</t>
  </si>
  <si>
    <t>Ostatné pohľadávky - krátkodobé</t>
  </si>
  <si>
    <t>Ostatné pohľadávky - dlhodobé</t>
  </si>
  <si>
    <t>Poskytnuté prevádzkové preddavky - zásoby</t>
  </si>
  <si>
    <t>Poskytnuté prevádzkové preddavky - dlhodobé pohľadávky</t>
  </si>
  <si>
    <t xml:space="preserve">Poskytnuté prevádzkové preddavky - krátkodobé pohľadávky </t>
  </si>
  <si>
    <t>044B</t>
  </si>
  <si>
    <t>039B</t>
  </si>
  <si>
    <t>036B</t>
  </si>
  <si>
    <t>050B</t>
  </si>
  <si>
    <t>041B</t>
  </si>
  <si>
    <t>Pohľadávky voči zamestnancom - krátkodobé</t>
  </si>
  <si>
    <t>Pohľadávky voči zamestnancom - dlhodobé</t>
  </si>
  <si>
    <t>045B</t>
  </si>
  <si>
    <t>Zúčtovanie SP a ZP - pohľadávka</t>
  </si>
  <si>
    <t>Zúčtovanie SP a ZP - záväzok</t>
  </si>
  <si>
    <t>Daň z príjmov - pohľadávka</t>
  </si>
  <si>
    <t>Daň z príjmov - záväzok</t>
  </si>
  <si>
    <t>Ostatné priame dane - pohľadávka</t>
  </si>
  <si>
    <t>Ostatné priame dane - záväzok</t>
  </si>
  <si>
    <t>Daň z pridanej hodnoty - pohľadávka</t>
  </si>
  <si>
    <t>Daň z pridanej hodnoty - záväzok</t>
  </si>
  <si>
    <t>Ostatné  dane a poplatky - pohľadávka</t>
  </si>
  <si>
    <t>Ostatné  dane a poplatky - záväzok</t>
  </si>
  <si>
    <t>046B</t>
  </si>
  <si>
    <t>Pohľadávky voči účastníkom združení - dlhodobé</t>
  </si>
  <si>
    <t>Pohľadávky voči účastníkom združení - krátkodobé</t>
  </si>
  <si>
    <t>048B</t>
  </si>
  <si>
    <t>040B</t>
  </si>
  <si>
    <t>Záväzky z pevných termínových operácií - dlhodobé</t>
  </si>
  <si>
    <t>Pohľadávky z pevných termínových operácií  - dlhodobé</t>
  </si>
  <si>
    <t>Pohľadávky z pevných termínových operácií  - krátkodobé</t>
  </si>
  <si>
    <t>Záväzky z pevných termínových operácií  - krátkodobé</t>
  </si>
  <si>
    <t>059B</t>
  </si>
  <si>
    <t>049B</t>
  </si>
  <si>
    <t>Opravná položka k pohľadávkam - preddavkom na zásoby</t>
  </si>
  <si>
    <t>Opravná položka k pohľadávkam - dlhodobým z obchodného styku</t>
  </si>
  <si>
    <t>Opravná položka k pohľadávkam - dlhodobým ostatným</t>
  </si>
  <si>
    <t>Opravná položka k pohľadávkam - dlhodobým voči účastnikom v združení</t>
  </si>
  <si>
    <t>Opravná položka k pohľadávkam - dlhodobým iným</t>
  </si>
  <si>
    <t>Opravná položka k pohľadávkam - krátkodobým z obchodného styku</t>
  </si>
  <si>
    <t>Opravná položka k pohľadávkam - krátkodobým ostatným</t>
  </si>
  <si>
    <t>Opravná položka k pohľadávkam - krátkodobým voči účastníkom v združení</t>
  </si>
  <si>
    <t>Opravná položka k pohľadávkam - spojovací účet pri združení</t>
  </si>
  <si>
    <t>Rezervy  zákonné - dlhodobé</t>
  </si>
  <si>
    <t>Rezervy  zákonné - krátkodobé</t>
  </si>
  <si>
    <t>Ostatné rezervy - krátkodobé</t>
  </si>
  <si>
    <t>Ostatné rezervy - dlhodobé</t>
  </si>
  <si>
    <t>Dlhodobé bankové úvery - DD</t>
  </si>
  <si>
    <t>Dlhodobé bankové úvery - KD</t>
  </si>
  <si>
    <t>Záväzky z nájmu - krátkodobé</t>
  </si>
  <si>
    <t>Záväzky z nájmu - dlhodobé</t>
  </si>
  <si>
    <t>Ostatné dlhodobé záväzky - KD</t>
  </si>
  <si>
    <t>Ostatné dlhodobé záväzky - DD</t>
  </si>
  <si>
    <t>zdroj HK</t>
  </si>
  <si>
    <t>Názov spoločnosti</t>
  </si>
  <si>
    <t>Aktuálne obdobie</t>
  </si>
  <si>
    <t>Začiatok obdobia</t>
  </si>
  <si>
    <t>Koniec obdobia</t>
  </si>
  <si>
    <t>Dátum</t>
  </si>
  <si>
    <t>Predchádzajúce obdobie</t>
  </si>
  <si>
    <t>IČO :</t>
  </si>
  <si>
    <t>Mesto</t>
  </si>
  <si>
    <t>Telefónna predvoľba</t>
  </si>
  <si>
    <t>Fax</t>
  </si>
  <si>
    <t>036K</t>
  </si>
  <si>
    <t>038K</t>
  </si>
  <si>
    <t>039K</t>
  </si>
  <si>
    <t>040K</t>
  </si>
  <si>
    <t>041K</t>
  </si>
  <si>
    <t>043K</t>
  </si>
  <si>
    <t>044K</t>
  </si>
  <si>
    <t>048K</t>
  </si>
  <si>
    <t>049K</t>
  </si>
  <si>
    <t>nasmerovaná HK spolu</t>
  </si>
  <si>
    <t>aktíva-pasíva:</t>
  </si>
  <si>
    <t>účet</t>
  </si>
  <si>
    <t>popis</t>
  </si>
  <si>
    <t>HV VZaS-HV.súvaha:</t>
  </si>
  <si>
    <t>syntetika</t>
  </si>
  <si>
    <t>zostatok</t>
  </si>
  <si>
    <t>050K</t>
  </si>
  <si>
    <t>Opravná položka k pohľadávkam - iným</t>
  </si>
  <si>
    <t>047B</t>
  </si>
  <si>
    <t>Dotácie a zúčtovanie s rozpočtami územnej samosprávy - pohľadávka</t>
  </si>
  <si>
    <t>Dotácie a zúčtovanie s rozpočtami územnej samosprávy - záväzok</t>
  </si>
  <si>
    <t>Dotácie a ostatné zúčtovanie so štátnym rozpočtom - pohľadávka</t>
  </si>
  <si>
    <t>Dotácie a ostatné zúčtovanie so štátnym rozpočtom - záväzok</t>
  </si>
  <si>
    <t>Daňové identifikačné číslo</t>
  </si>
  <si>
    <t>riadna</t>
  </si>
  <si>
    <t>IČO</t>
  </si>
  <si>
    <t>Sídlo účtovnej jednotky</t>
  </si>
  <si>
    <t>Číslo faxu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</si>
  <si>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</si>
  <si>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</si>
  <si>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</si>
  <si>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Zostavená dňa:</t>
  </si>
  <si>
    <t>Presun na nevysporiadaný výsledok hospodárenia minulých rokov</t>
  </si>
  <si>
    <t>/</t>
  </si>
  <si>
    <t>SID</t>
  </si>
  <si>
    <t>.</t>
  </si>
  <si>
    <t>Typ uzávierky:</t>
  </si>
  <si>
    <t>SID:</t>
  </si>
  <si>
    <t>kód SK NACE</t>
  </si>
  <si>
    <t>Software</t>
  </si>
  <si>
    <t>- Stavby-Rek-ÚPS+Strechy-lôž+Nadjazd-San</t>
  </si>
  <si>
    <t>- Stavby-Rekonštrukcia strav prev</t>
  </si>
  <si>
    <t>- Stavby-Rekonštrukcia RTG</t>
  </si>
  <si>
    <t>- Stavby-Rekonštrukcia Energ.Hospod</t>
  </si>
  <si>
    <t>- Stavby-Rekonštrukcia sociál.zar-NsP</t>
  </si>
  <si>
    <t>- Úprava priestorov-Nadšt.izby NsP-TZH.</t>
  </si>
  <si>
    <t>- Rekonštrukcia pôrodnej sály NsP-TZH.</t>
  </si>
  <si>
    <t>Sam.hnut.veci a súbory hnut.vecí-klim.at</t>
  </si>
  <si>
    <t>- Swingo 750-el.stroj na umývanie podláh</t>
  </si>
  <si>
    <t>- Zvláštne technické zariadenia i PC</t>
  </si>
  <si>
    <t>Zdravotnícke prístroje-i Leasing</t>
  </si>
  <si>
    <t>- Poloh.postele-Dar-MR-Odd-/DDM/-24 mes.</t>
  </si>
  <si>
    <t>- Matrace-Dar MR-Oddelenia-/DDM/-24 mes.</t>
  </si>
  <si>
    <t>Ostatny dlhodobý hmotny majeto-mesto</t>
  </si>
  <si>
    <t>Obstaranie dlhodobého nehmotné</t>
  </si>
  <si>
    <t>Obstaranie dlhodobého hmotného</t>
  </si>
  <si>
    <t>Obst. DHM/Všetky inv.za r.2013.</t>
  </si>
  <si>
    <t>Obst. DHM/Rekonštr.-RTG</t>
  </si>
  <si>
    <t>Obst. DHM/Rekonštr.-Energ.hospod</t>
  </si>
  <si>
    <t>Poskytnuté preddavky na dlhod.hmotný maj</t>
  </si>
  <si>
    <t>Oprávky k softwaru</t>
  </si>
  <si>
    <t>Oprávky k sam.hnut.veciam a sú</t>
  </si>
  <si>
    <t>- Opr.k prac.strojom a zariade</t>
  </si>
  <si>
    <t>- Opr.k prístr.a zvl.tech.zari</t>
  </si>
  <si>
    <t>- Oprávky k zdravotníckej tech</t>
  </si>
  <si>
    <t>Oprávky k dopravným prostriedk</t>
  </si>
  <si>
    <t>Oprávky k ostatnému dlhodobému najetku</t>
  </si>
  <si>
    <t>- Opravná položka k účtu 042.1</t>
  </si>
  <si>
    <t>Obstaranie materiálu PHM</t>
  </si>
  <si>
    <t>Obstaranie náhrad.dielov-autosúčiastky</t>
  </si>
  <si>
    <t>Obstaranie liekov-Ústavná lekáreň</t>
  </si>
  <si>
    <t>Obstaranie ŠZM-Ústavná lekáreň</t>
  </si>
  <si>
    <t>Obstaranie krvi</t>
  </si>
  <si>
    <t>Obstaranie potravín</t>
  </si>
  <si>
    <t>Obstaranie MTZ</t>
  </si>
  <si>
    <t>Obstaranie DHM</t>
  </si>
  <si>
    <t>Obstaranie remesel. materiálu</t>
  </si>
  <si>
    <t>Lieky a ŠZM-zásoby na oddeleniach</t>
  </si>
  <si>
    <t>Sklad PHM</t>
  </si>
  <si>
    <t>Sklad náhradných dielov-autosúčiastky</t>
  </si>
  <si>
    <t>Lieky</t>
  </si>
  <si>
    <t>Špeciálny zdravotnícky materiál</t>
  </si>
  <si>
    <t>Krv a krvné výrobky</t>
  </si>
  <si>
    <t>Sklad potravín</t>
  </si>
  <si>
    <t>Sklad MTZ</t>
  </si>
  <si>
    <t>Sklad DHM</t>
  </si>
  <si>
    <t>Sklad remeselníckeho materiálu</t>
  </si>
  <si>
    <t>Zubolekársky materiál spolu /</t>
  </si>
  <si>
    <t>- materiál na ceste</t>
  </si>
  <si>
    <t>- Lekáreň v nemocnici NsP./ ve</t>
  </si>
  <si>
    <t>Pokladnica EUR</t>
  </si>
  <si>
    <t>- špecializačný index</t>
  </si>
  <si>
    <t>- vstupenky do kúpeľov,a iné</t>
  </si>
  <si>
    <t>- telefónne karty - SIM karty</t>
  </si>
  <si>
    <t>- kreditné karty na pohonné hm</t>
  </si>
  <si>
    <t>- kolky</t>
  </si>
  <si>
    <t>- bežný účet VUB-1690283654/0200</t>
  </si>
  <si>
    <t>- bežný účet TB-vedľajší/2925841687/1100</t>
  </si>
  <si>
    <t>- bežný účet TB-hlavný /2926859504/1100</t>
  </si>
  <si>
    <t>- bežný účet-SLSP-Eurofondy-1.0264360640</t>
  </si>
  <si>
    <t>- bežný účet-SLSP-Eurofondy-2.0264360683</t>
  </si>
  <si>
    <t>-Krátkod bankúver/2926859504 do 8.4.2013</t>
  </si>
  <si>
    <t>-Pôž-KFV-SZ-TB-BÚ/2926859504/1100/-5 %</t>
  </si>
  <si>
    <t>-- Pôžička zo Svetu zdravia-úrok 10%</t>
  </si>
  <si>
    <t>- Záväz.-IÚ-10 % a 5,5 % od 1.5.2013-SZ.</t>
  </si>
  <si>
    <t>-- Záväzky uhrad nájmu SZ+Pôž.od mesta</t>
  </si>
  <si>
    <t>- Záväz od Svetu zdrav.-5 % z KFV-pôžič.</t>
  </si>
  <si>
    <t>- prevod medzi bankou a poklad</t>
  </si>
  <si>
    <t>- prevody medzi bankovými účtami</t>
  </si>
  <si>
    <t>Zdravotné poisťovne za zdravot.starost.</t>
  </si>
  <si>
    <t>Odhady revízií ZP+Lek v nem</t>
  </si>
  <si>
    <t>Odberatelia - nájom</t>
  </si>
  <si>
    <t>- Odpredaj mat.+strava+odpad.sklo</t>
  </si>
  <si>
    <t>- Platené služby - / i polícia /</t>
  </si>
  <si>
    <t>Predaj tovaru z Lekárne - ZP</t>
  </si>
  <si>
    <t>- Ostatní odberatelia-prev.nákl.</t>
  </si>
  <si>
    <t>- Za krv a krvné výrobky spolu</t>
  </si>
  <si>
    <t>-- Poskytnuté preddavky - záso</t>
  </si>
  <si>
    <t>- Poskytnuté preddavky-dlhod.-SP.</t>
  </si>
  <si>
    <t>-- Poskytnuté preddavky-zál.fa</t>
  </si>
  <si>
    <t>-- Tržby lekáreň v NsP do pokl</t>
  </si>
  <si>
    <t>-- Tržby vrátnica za parkovné do pokladn</t>
  </si>
  <si>
    <t>-- Tržby-Jednor.popl.za park.za Rok 2013</t>
  </si>
  <si>
    <t xml:space="preserve"> Dodávatelia</t>
  </si>
  <si>
    <t>Dodávatelia EÚ + zahraničie</t>
  </si>
  <si>
    <t>Dodávatelia-Svet zdravia-Poradenstvo</t>
  </si>
  <si>
    <t>- Krátk.rez-Doúčt.náhr.mzdy+po</t>
  </si>
  <si>
    <t>- Krátk.rezervy.ostatné-/i audit/</t>
  </si>
  <si>
    <t>Prijaté preddavky od ZP a iné</t>
  </si>
  <si>
    <t>Nevyfakturované dodávky-rôzne</t>
  </si>
  <si>
    <t>- Mzdy</t>
  </si>
  <si>
    <t>- Pohľ.voči zamestnancom</t>
  </si>
  <si>
    <t>- Pohľ.-Za stravu-zamestnanci</t>
  </si>
  <si>
    <t xml:space="preserve"> -Pohľ.-Za stravu-cudzí stravníci</t>
  </si>
  <si>
    <t>- Pohľ.za poskytn poukazy zo SF</t>
  </si>
  <si>
    <t>- Zál.na drob.nákup,poštov.,sl</t>
  </si>
  <si>
    <t>- Mimoriadne zálohy zamestnanc</t>
  </si>
  <si>
    <t>ZP - odvody</t>
  </si>
  <si>
    <t>SP - odvody</t>
  </si>
  <si>
    <t>- danové pohľadávky-r.046-orga</t>
  </si>
  <si>
    <t>- daňové záväzky - preddavková-ZČ.</t>
  </si>
  <si>
    <t>- daňové pohľadávky - r.046</t>
  </si>
  <si>
    <t>DPH nárok na odpočítanie</t>
  </si>
  <si>
    <t>Daň na výstupe bez odvodov</t>
  </si>
  <si>
    <t>Krátenie odpočtu</t>
  </si>
  <si>
    <t>Preúčtované krátenie odpočtu</t>
  </si>
  <si>
    <t>DPH daňová povinnosť</t>
  </si>
  <si>
    <t>Vlastná daňová povinnosť</t>
  </si>
  <si>
    <t>Úhrada vlastnej daňovej povinnosti</t>
  </si>
  <si>
    <t>Nadmerný odpočet</t>
  </si>
  <si>
    <t>Úhrada nadmerného odpočtu</t>
  </si>
  <si>
    <t>P.S. vzťah k štátnemu rozpočtu</t>
  </si>
  <si>
    <t>Kontrolný účet DPH</t>
  </si>
  <si>
    <t>Daň na vstupe do DP</t>
  </si>
  <si>
    <t>- Iné pohľ/dlhod/-voči SZ-TB-BÚ-r.041.</t>
  </si>
  <si>
    <t>- Iné pohľ-/krátkodobé/-r.050-NNOM, n.o.</t>
  </si>
  <si>
    <t>- Iné záväz-prevzaté SZ-náj 2011+2012</t>
  </si>
  <si>
    <t>Iné záväzky-preúčtovanie DPH/zostatku/</t>
  </si>
  <si>
    <t>- Nákl.bud.období-čas.rozlíš-poistné</t>
  </si>
  <si>
    <t>- Výdavky BO-DB-Úroky-CASH POOLING</t>
  </si>
  <si>
    <t>- Výnosy budúcich období-Dary DHM</t>
  </si>
  <si>
    <t>- Výnosy bud obd-dar-2 mechan.vozíky</t>
  </si>
  <si>
    <t>- Výn.bud.období SZ Lab-Nájom</t>
  </si>
  <si>
    <t>- Výnosy bud. obd.-MÚ PE-Nájom</t>
  </si>
  <si>
    <t>- Opr.pol.k pohľ-/311 až 314/-</t>
  </si>
  <si>
    <t>Vnútorné zúčtovanie - / hlavne</t>
  </si>
  <si>
    <t>Ostatné fondy / i dary /.B.Braun /.</t>
  </si>
  <si>
    <t>Nevysporiadaný výsl. hospod.mi</t>
  </si>
  <si>
    <t>Výsledok hospodárenia v schvaľ</t>
  </si>
  <si>
    <t>- prevody týkajúce sa minulých</t>
  </si>
  <si>
    <t>- povinný prídel do sociálneho</t>
  </si>
  <si>
    <t>- na rekreačné zariadenia</t>
  </si>
  <si>
    <t>- na jubileá</t>
  </si>
  <si>
    <t>- na obstaranie autobusu</t>
  </si>
  <si>
    <t>- príspevok na závod.stravovan</t>
  </si>
  <si>
    <t>- na rekreácie a zájazdy</t>
  </si>
  <si>
    <t>- na kultúru a telovýchovu</t>
  </si>
  <si>
    <t>- nenávratná výpomoc-pôžička</t>
  </si>
  <si>
    <t>- peňažné plnenie</t>
  </si>
  <si>
    <t>- na krytie nákl na dopravu do zamestnan</t>
  </si>
  <si>
    <t>- ostatné-výpomoc,dlhodob PN,dôchod,OOPP</t>
  </si>
  <si>
    <t>-- benzín zdravot. dopravy</t>
  </si>
  <si>
    <t>-- benzín hospod. dopravy</t>
  </si>
  <si>
    <t>-- nafta zdravot. dopravy</t>
  </si>
  <si>
    <t>-- nafta hospod. dopravy</t>
  </si>
  <si>
    <t>-- oleje a mazadlá zdravot. do</t>
  </si>
  <si>
    <t>-- oleje a mazadlá hospod. dop</t>
  </si>
  <si>
    <t>-- nafta a olej - trafostanica</t>
  </si>
  <si>
    <t>--Spotreba liekov</t>
  </si>
  <si>
    <t>--Krv a krvné výrobky</t>
  </si>
  <si>
    <t>--Spotreba špeciálneho zdrav. materiálu</t>
  </si>
  <si>
    <t>-- potraviny pre pacientov</t>
  </si>
  <si>
    <t>-- potraviny-jeseň/zamestnanci</t>
  </si>
  <si>
    <t>-- čistiace prostriedky</t>
  </si>
  <si>
    <t>-- dezinfekčné prostriedky</t>
  </si>
  <si>
    <t>-- kancelársky materiál+tlačivá</t>
  </si>
  <si>
    <t>-- iný všeobecný materiál</t>
  </si>
  <si>
    <t>-- materiál na údržbu-zdravotnú</t>
  </si>
  <si>
    <t>-- ostatný materiál na údržbu</t>
  </si>
  <si>
    <t>-- OOPP - zamestnanci</t>
  </si>
  <si>
    <t>-- zdravotnícky DHM</t>
  </si>
  <si>
    <t>-- ostatny DHM</t>
  </si>
  <si>
    <t>-- Predpisy, knihy, hračky, časopisy</t>
  </si>
  <si>
    <t>- elektrická energia</t>
  </si>
  <si>
    <t>- voda+dážďová voda</t>
  </si>
  <si>
    <t>- para</t>
  </si>
  <si>
    <t>- plyn</t>
  </si>
  <si>
    <t>- Predaný tovar-Lekáreň v NsP</t>
  </si>
  <si>
    <t>- opravy budov a stavieb</t>
  </si>
  <si>
    <t>- údržba vozového parku</t>
  </si>
  <si>
    <t>- údržba zdravotechniky</t>
  </si>
  <si>
    <t>- ostatná údržba a opravy</t>
  </si>
  <si>
    <t>-- cestovné zdravot.pracovníko</t>
  </si>
  <si>
    <t>-- cestovné ostatných pracovní</t>
  </si>
  <si>
    <t>-- stravné zdravot.pracov/služ</t>
  </si>
  <si>
    <t>-- stravné ostatných pracov/sl</t>
  </si>
  <si>
    <t>-- ostat.cestov-nocľah+park zdrav.prac</t>
  </si>
  <si>
    <t>--ostat cestov-nocľah+park nezdrav</t>
  </si>
  <si>
    <t>- náklady na reprezentáciu</t>
  </si>
  <si>
    <t>- prepravné</t>
  </si>
  <si>
    <t>- nájomné</t>
  </si>
  <si>
    <t>- nájom za HNZ</t>
  </si>
  <si>
    <t>-- nájom za ONZ</t>
  </si>
  <si>
    <t xml:space="preserve"> - nájom za Mobiliare</t>
  </si>
  <si>
    <t>-- DPH pom odpočet - nájom za Mobiliare</t>
  </si>
  <si>
    <t>-- pranie pre pacientov</t>
  </si>
  <si>
    <t>- výkony výpočtovej techniky</t>
  </si>
  <si>
    <t>-- telefónne poplatky</t>
  </si>
  <si>
    <t>-- poštovné</t>
  </si>
  <si>
    <t>-- ostatné výkony spojov-SKR,GPS.TÚ</t>
  </si>
  <si>
    <t>- Poradenstvo-Svet zdravia a.s-PE</t>
  </si>
  <si>
    <t>-- odvoz odpadu</t>
  </si>
  <si>
    <t>-- iné služby - paušál o.i. /i audit /.</t>
  </si>
  <si>
    <t>-- ostatné služby - mzdový nár</t>
  </si>
  <si>
    <t>-- mzdy zdravot.pracovníkov</t>
  </si>
  <si>
    <t>-- mzdy ostatných pracovníkov</t>
  </si>
  <si>
    <t>-- OON zdravot.pracovníkov</t>
  </si>
  <si>
    <t>-- OON nezdravot.pracovníkov</t>
  </si>
  <si>
    <t>-- za zdravot.pracovníkov</t>
  </si>
  <si>
    <t>-- za ostatných pracovníkov</t>
  </si>
  <si>
    <t>- Zákonné sociálne naklady - Soc.fond</t>
  </si>
  <si>
    <t>- Ostat.soc.nákl - úraz.poist.-zdrav.</t>
  </si>
  <si>
    <t>- Ostat.sociál.nákl-náhr.príjm</t>
  </si>
  <si>
    <t>- Cestná daň</t>
  </si>
  <si>
    <t>- daň z nehnuteľností/hl.činnosť</t>
  </si>
  <si>
    <t>-- zmluvné pokuty a penále</t>
  </si>
  <si>
    <t>- Úroky - Faktoring-TB/od 1.7.11-úver</t>
  </si>
  <si>
    <t>- Úroky - IÚ-10% a 5,5% od 1.5.2013-SZ.</t>
  </si>
  <si>
    <t>- Dohodnuté úroky-5 %-Svet zdr-KFV-pôž</t>
  </si>
  <si>
    <t>- DB úroky-Kompenzácia zo záv-TB-HÚ</t>
  </si>
  <si>
    <t>- Osobitné náklady</t>
  </si>
  <si>
    <t>-- odmena lekára za vyst poist-Allianz</t>
  </si>
  <si>
    <t>- poistné-zodpovednosť za škodu</t>
  </si>
  <si>
    <t>Centové vyrovnanie</t>
  </si>
  <si>
    <t>- Popl.-Spoluúčať na nehode+DPH-úhrada</t>
  </si>
  <si>
    <t>- Vyúčtovanie pomerného odpočt</t>
  </si>
  <si>
    <t>-- účastnícky a konferenčný poplatok</t>
  </si>
  <si>
    <t>-- bank.popl-TB/Sprac.+Rámcový/</t>
  </si>
  <si>
    <t>-- bankové poplatky</t>
  </si>
  <si>
    <t>-- rôzne poplatky-kolky,STK,znečis ovzd</t>
  </si>
  <si>
    <t>-- Nákl.na súdne-prac.práv.spory organiz</t>
  </si>
  <si>
    <t>Odpisy DHIM + DNIM-zdrav.majetok</t>
  </si>
  <si>
    <t>Odpisy DHIM + DNIM-ostatný majetok</t>
  </si>
  <si>
    <t>- Tvorba a zúčtov OP k obstar projek</t>
  </si>
  <si>
    <t>- Poskytnuté príspevky iným účt.jedn</t>
  </si>
  <si>
    <t>Daň z úroku na bankov účtoch</t>
  </si>
  <si>
    <t>-- za stravovanie od fyzických</t>
  </si>
  <si>
    <t>-- za stravovanie od právnický</t>
  </si>
  <si>
    <t>-- za telefón od právnických o</t>
  </si>
  <si>
    <t>-- za IT podpora od právnických osôb</t>
  </si>
  <si>
    <t>-- služby poštovné od právnických osôb</t>
  </si>
  <si>
    <t>-- deratizácia a dezinsekcia od právnick</t>
  </si>
  <si>
    <t>-- za pranie od právnických os</t>
  </si>
  <si>
    <t>-- za odvoz odpadu od právnick</t>
  </si>
  <si>
    <t>-- za servis zdrav.techn. od p</t>
  </si>
  <si>
    <t>-- za prepravu od fyzických os</t>
  </si>
  <si>
    <t>-- za kúrenie od právnických o</t>
  </si>
  <si>
    <t>-- vodné, stočné od právnických</t>
  </si>
  <si>
    <t>-- za elektr.energiu od fyzick</t>
  </si>
  <si>
    <t>-- za elektr.energiu od právni</t>
  </si>
  <si>
    <t>-- za nájom prenajat majetku</t>
  </si>
  <si>
    <t>-- obratové nájomné SL labs</t>
  </si>
  <si>
    <t>-- obratový nájom TEMPEL 3%nad 31000</t>
  </si>
  <si>
    <t>-- za komplexné vyšetrenie</t>
  </si>
  <si>
    <t>-- za predoperačné vyšetrenie</t>
  </si>
  <si>
    <t>-- za platené služby ORL</t>
  </si>
  <si>
    <t>-- za interupciu</t>
  </si>
  <si>
    <t>-- Poplatok za LSPP a ÚPS</t>
  </si>
  <si>
    <t>-- za lôžko a stravu-doprovod/dieťaťa/</t>
  </si>
  <si>
    <t>-- ostat náhod platby a poplatky+/IMS-ÚL</t>
  </si>
  <si>
    <t>-- Ost.platby-nadšt.izby-oddelenia</t>
  </si>
  <si>
    <t>-- Poplatok za sterilizáciu</t>
  </si>
  <si>
    <t>- Tržby z lekárne oslob.od DPH-recepty</t>
  </si>
  <si>
    <t>-- za PEDA,otec pri pôrode a ost gynek</t>
  </si>
  <si>
    <t>-- za úrazové poist-/odmena lekara/</t>
  </si>
  <si>
    <t>--úrad nad zdr.star-prehliadka zosnulých</t>
  </si>
  <si>
    <t>-- Tržby-Vrátnica NsP/parkovné/</t>
  </si>
  <si>
    <t>-- za placentárnu krv-"Register Blava</t>
  </si>
  <si>
    <t>-- za prednostné ošetrenie-amb/odborn</t>
  </si>
  <si>
    <t>-- administratívne poplatky,potvrdenia</t>
  </si>
  <si>
    <t>-- za platené zdrav.služby-OKB-HTO-OKM</t>
  </si>
  <si>
    <t>-- samoplatci (mimo zdrav poist)</t>
  </si>
  <si>
    <t>-- sterilizácia prístrojov v HK-Operačka</t>
  </si>
  <si>
    <t xml:space="preserve"> za úkončené hospitalizácie-zúčtované</t>
  </si>
  <si>
    <t xml:space="preserve"> výkony za body-zúčtované</t>
  </si>
  <si>
    <t xml:space="preserve"> za ostatné výkony-paušál</t>
  </si>
  <si>
    <t xml:space="preserve"> za lieky-zúčtované</t>
  </si>
  <si>
    <t xml:space="preserve"> za ŠZM-zúčtované</t>
  </si>
  <si>
    <t xml:space="preserve"> za dopravu DZS-zúčtované</t>
  </si>
  <si>
    <t xml:space="preserve"> za dopravu RZP-zúčtované</t>
  </si>
  <si>
    <t xml:space="preserve"> za jednodňovú zdrav starostl JAS</t>
  </si>
  <si>
    <t xml:space="preserve"> za OHV</t>
  </si>
  <si>
    <t xml:space="preserve"> za neodkladnú zdrav starostlivosť</t>
  </si>
  <si>
    <t xml:space="preserve"> za výkony ZP minulých období</t>
  </si>
  <si>
    <t>- Tržba za predaný tovar-Lekár</t>
  </si>
  <si>
    <t>Aktivácia vnútroorg služieb-stravovanie</t>
  </si>
  <si>
    <t>- prijaté úroky z VÚB+ od 3.8.</t>
  </si>
  <si>
    <t>- prijaté úoky zo SLSP-TV.-/zd</t>
  </si>
  <si>
    <t>- prijaté úroky-TB-VÚ.</t>
  </si>
  <si>
    <t>- CR úroky-Kompenzácia z pohľ-TB-HÚ.</t>
  </si>
  <si>
    <t>- Prijaté dary</t>
  </si>
  <si>
    <t>- ostatné výnosy-hlavne zaokrúhlenie</t>
  </si>
  <si>
    <t>- ostatné výnosy z prevádzky-a</t>
  </si>
  <si>
    <t>- Ost.výn-poist.za škodu-Koop+Alian+ČSOB</t>
  </si>
  <si>
    <t>- Výnosy z použitia fondu</t>
  </si>
  <si>
    <t>- Prísp.od TnUAD- I.+II+III roč ošetr</t>
  </si>
  <si>
    <t xml:space="preserve"> - Príspevok / dar /-Lumatec/Zľava-lieky</t>
  </si>
  <si>
    <t>- Prijaté príspevky od fyzických osôb</t>
  </si>
  <si>
    <t>- Príspevky z podielu zapl.dane-FO.</t>
  </si>
  <si>
    <t>- Príspevky z podielu zapl.dane-PO.</t>
  </si>
  <si>
    <t>- Prevádzkové dotácie-HIM-čas.rozlíšenie</t>
  </si>
  <si>
    <t>Účet</t>
  </si>
  <si>
    <t>Počiatočný stav</t>
  </si>
  <si>
    <t>MMD</t>
  </si>
  <si>
    <t>MDAL</t>
  </si>
  <si>
    <t>RMD</t>
  </si>
  <si>
    <t>RDal</t>
  </si>
  <si>
    <t>Konečný stav</t>
  </si>
  <si>
    <t>Názov účtu</t>
  </si>
  <si>
    <t xml:space="preserve"> - Finančné dary-Rok 2013+2014</t>
  </si>
  <si>
    <t>Fakturácia ZP za výkony predch roka</t>
  </si>
  <si>
    <t>Ročné vysporiadanie odpočtu</t>
  </si>
  <si>
    <t>Preúčtovanie ročného odpočtu</t>
  </si>
  <si>
    <t>- daňové záväzky-MV</t>
  </si>
  <si>
    <t xml:space="preserve"> - Iné pohľ-Fin.dary-Mesto+Lumatec</t>
  </si>
  <si>
    <t>- Obstávky-zamest-mzdy/zrážky/+Str.lístk</t>
  </si>
  <si>
    <t>- Ostatné NsP</t>
  </si>
  <si>
    <t>- Zákonné sociálne náklady-stravov zames</t>
  </si>
  <si>
    <t>- Odpis nevymožiteľnej pohľad.</t>
  </si>
  <si>
    <t>- dary</t>
  </si>
  <si>
    <t>Zúčt.zák-OP-Neplatí od r.2011</t>
  </si>
  <si>
    <t>a/c</t>
  </si>
  <si>
    <t>PBT</t>
  </si>
  <si>
    <t>PAT</t>
  </si>
  <si>
    <t xml:space="preserve">- </t>
  </si>
  <si>
    <t>- daňové záväzky-organizácia</t>
  </si>
  <si>
    <t>- Výdav BO-DB-Úroky-Ca POOL/Alpha Med</t>
  </si>
  <si>
    <t>Daň z príjmov právnických osôb</t>
  </si>
  <si>
    <t>0131000000</t>
  </si>
  <si>
    <t>0211000000</t>
  </si>
  <si>
    <t>0212000000</t>
  </si>
  <si>
    <t>0213000000</t>
  </si>
  <si>
    <t>0214000000</t>
  </si>
  <si>
    <t>0215000000</t>
  </si>
  <si>
    <t>0216000000</t>
  </si>
  <si>
    <t>0217000000</t>
  </si>
  <si>
    <t>0221000000</t>
  </si>
  <si>
    <t>0222000000</t>
  </si>
  <si>
    <t>0223000000</t>
  </si>
  <si>
    <t>0224000000</t>
  </si>
  <si>
    <t>0225000000</t>
  </si>
  <si>
    <t>0226000000</t>
  </si>
  <si>
    <t>0231000000</t>
  </si>
  <si>
    <t>0291000000</t>
  </si>
  <si>
    <t>0411000000</t>
  </si>
  <si>
    <t>0421000000</t>
  </si>
  <si>
    <t>0422000000</t>
  </si>
  <si>
    <t>0423000000</t>
  </si>
  <si>
    <t>0424000000</t>
  </si>
  <si>
    <t>0521000000</t>
  </si>
  <si>
    <t>0731000000</t>
  </si>
  <si>
    <t>0811000000</t>
  </si>
  <si>
    <t>0821000000</t>
  </si>
  <si>
    <t>0822000000</t>
  </si>
  <si>
    <t>0823000000</t>
  </si>
  <si>
    <t>0824000000</t>
  </si>
  <si>
    <t>0831000000</t>
  </si>
  <si>
    <t>0891000000</t>
  </si>
  <si>
    <t>0941000000</t>
  </si>
  <si>
    <t>1111211000</t>
  </si>
  <si>
    <t>1111212000</t>
  </si>
  <si>
    <t>1111300000</t>
  </si>
  <si>
    <t>1111400000</t>
  </si>
  <si>
    <t>1111500000</t>
  </si>
  <si>
    <t>1111611000</t>
  </si>
  <si>
    <t>1111711000</t>
  </si>
  <si>
    <t>1111712000</t>
  </si>
  <si>
    <t>1111811000</t>
  </si>
  <si>
    <t>1121100000</t>
  </si>
  <si>
    <t>1121211000</t>
  </si>
  <si>
    <t>1121212000</t>
  </si>
  <si>
    <t>1121300000</t>
  </si>
  <si>
    <t>1121411000</t>
  </si>
  <si>
    <t>1121500000</t>
  </si>
  <si>
    <t>1121611000</t>
  </si>
  <si>
    <t>1121711000</t>
  </si>
  <si>
    <t>1121712000</t>
  </si>
  <si>
    <t>1121811000</t>
  </si>
  <si>
    <t>1121900000</t>
  </si>
  <si>
    <t>1190000000</t>
  </si>
  <si>
    <t>1191000000</t>
  </si>
  <si>
    <t>1321000000</t>
  </si>
  <si>
    <t>2111000000</t>
  </si>
  <si>
    <t>2131000000</t>
  </si>
  <si>
    <t>2132000000</t>
  </si>
  <si>
    <t>2133000000</t>
  </si>
  <si>
    <t>2135000000</t>
  </si>
  <si>
    <t>2136000000</t>
  </si>
  <si>
    <t>2211000000</t>
  </si>
  <si>
    <t>2212000000</t>
  </si>
  <si>
    <t>2213000000</t>
  </si>
  <si>
    <t>2218000000</t>
  </si>
  <si>
    <t>2219000000</t>
  </si>
  <si>
    <t>2311000000</t>
  </si>
  <si>
    <t>2491000000</t>
  </si>
  <si>
    <t>2492000000</t>
  </si>
  <si>
    <t>2493000000</t>
  </si>
  <si>
    <t>2494000000</t>
  </si>
  <si>
    <t>2495000000</t>
  </si>
  <si>
    <t>2610000000</t>
  </si>
  <si>
    <t>2611000000</t>
  </si>
  <si>
    <t>2612000000</t>
  </si>
  <si>
    <t>3111000000</t>
  </si>
  <si>
    <t>3111100000</t>
  </si>
  <si>
    <t>3112000000</t>
  </si>
  <si>
    <t>3115200000</t>
  </si>
  <si>
    <t>3115300000</t>
  </si>
  <si>
    <t>3115400000</t>
  </si>
  <si>
    <t>3115500000</t>
  </si>
  <si>
    <t>3115600000</t>
  </si>
  <si>
    <t>3141000000</t>
  </si>
  <si>
    <t>3142000000</t>
  </si>
  <si>
    <t>3143000000</t>
  </si>
  <si>
    <t>3151000000</t>
  </si>
  <si>
    <t>3152000000</t>
  </si>
  <si>
    <t>3153000000</t>
  </si>
  <si>
    <t>3154000000</t>
  </si>
  <si>
    <t>3211000000</t>
  </si>
  <si>
    <t>3212000000</t>
  </si>
  <si>
    <t>3213000000</t>
  </si>
  <si>
    <t>3231000000</t>
  </si>
  <si>
    <t>3233000000</t>
  </si>
  <si>
    <t>3243000000</t>
  </si>
  <si>
    <t>3261000000</t>
  </si>
  <si>
    <t>3262000000</t>
  </si>
  <si>
    <t>3311000000</t>
  </si>
  <si>
    <t>3351000000</t>
  </si>
  <si>
    <t>3354000000</t>
  </si>
  <si>
    <t>3354100000</t>
  </si>
  <si>
    <t>3357000000</t>
  </si>
  <si>
    <t>3358000000</t>
  </si>
  <si>
    <t>3359000000</t>
  </si>
  <si>
    <t>3361000000</t>
  </si>
  <si>
    <t>3366000000</t>
  </si>
  <si>
    <t>3411000000</t>
  </si>
  <si>
    <t>3412000000</t>
  </si>
  <si>
    <t>3421000000</t>
  </si>
  <si>
    <t>3423000000</t>
  </si>
  <si>
    <t>3431000000</t>
  </si>
  <si>
    <t>3431300000</t>
  </si>
  <si>
    <t>3431800000</t>
  </si>
  <si>
    <t>3431900000</t>
  </si>
  <si>
    <t>3432000000</t>
  </si>
  <si>
    <t>3432200000</t>
  </si>
  <si>
    <t>3432230000</t>
  </si>
  <si>
    <t>3432400000</t>
  </si>
  <si>
    <t>3432500000</t>
  </si>
  <si>
    <t>3432600000</t>
  </si>
  <si>
    <t>3432700000</t>
  </si>
  <si>
    <t>3436000000</t>
  </si>
  <si>
    <t>3437000000</t>
  </si>
  <si>
    <t>3438000000</t>
  </si>
  <si>
    <t>3451000000</t>
  </si>
  <si>
    <t>3781000000</t>
  </si>
  <si>
    <t>3782000000</t>
  </si>
  <si>
    <t>3783000000</t>
  </si>
  <si>
    <t>3791000000</t>
  </si>
  <si>
    <t>3792000000</t>
  </si>
  <si>
    <t>3794000000</t>
  </si>
  <si>
    <t>3811000000</t>
  </si>
  <si>
    <t>3831000000</t>
  </si>
  <si>
    <t>3841000000</t>
  </si>
  <si>
    <t>3842000000</t>
  </si>
  <si>
    <t>3844000000</t>
  </si>
  <si>
    <t>3845000000</t>
  </si>
  <si>
    <t>3911200000</t>
  </si>
  <si>
    <t>3951000000</t>
  </si>
  <si>
    <t>4111000000</t>
  </si>
  <si>
    <t>4271000000</t>
  </si>
  <si>
    <t>4271190000</t>
  </si>
  <si>
    <t>4272190000</t>
  </si>
  <si>
    <t>4281000000</t>
  </si>
  <si>
    <t>4311000000</t>
  </si>
  <si>
    <t>4721100000</t>
  </si>
  <si>
    <t>4721200000</t>
  </si>
  <si>
    <t>4722110000</t>
  </si>
  <si>
    <t>4722130000</t>
  </si>
  <si>
    <t>4722140000</t>
  </si>
  <si>
    <t>4722220000</t>
  </si>
  <si>
    <t>4722240000</t>
  </si>
  <si>
    <t>4722250000</t>
  </si>
  <si>
    <t>4722310000</t>
  </si>
  <si>
    <t>4722410000</t>
  </si>
  <si>
    <t>4722420000</t>
  </si>
  <si>
    <t>4722500000</t>
  </si>
  <si>
    <t>5012110000</t>
  </si>
  <si>
    <t>5012120000</t>
  </si>
  <si>
    <t>5012210000</t>
  </si>
  <si>
    <t>5012220000</t>
  </si>
  <si>
    <t>5012310000</t>
  </si>
  <si>
    <t>5012320000</t>
  </si>
  <si>
    <t>5012330000</t>
  </si>
  <si>
    <t>5013110000</t>
  </si>
  <si>
    <t>5014000000</t>
  </si>
  <si>
    <t>5015110000</t>
  </si>
  <si>
    <t>5016100000</t>
  </si>
  <si>
    <t>5016200000</t>
  </si>
  <si>
    <t>5017110000</t>
  </si>
  <si>
    <t>5017120000</t>
  </si>
  <si>
    <t>5017130000</t>
  </si>
  <si>
    <t>5017500000</t>
  </si>
  <si>
    <t>5018100000</t>
  </si>
  <si>
    <t>5018200000</t>
  </si>
  <si>
    <t>5019120000</t>
  </si>
  <si>
    <t>5019200000</t>
  </si>
  <si>
    <t>5019300000</t>
  </si>
  <si>
    <t>5019400000</t>
  </si>
  <si>
    <t>5021000000</t>
  </si>
  <si>
    <t>5022000000</t>
  </si>
  <si>
    <t>5023000000</t>
  </si>
  <si>
    <t>5024000000</t>
  </si>
  <si>
    <t>5041000000</t>
  </si>
  <si>
    <t>5111000000</t>
  </si>
  <si>
    <t>5112000000</t>
  </si>
  <si>
    <t>5113000000</t>
  </si>
  <si>
    <t>5114000000</t>
  </si>
  <si>
    <t>5121100000</t>
  </si>
  <si>
    <t>5121200000</t>
  </si>
  <si>
    <t>5123100000</t>
  </si>
  <si>
    <t>5123200000</t>
  </si>
  <si>
    <t>5124100000</t>
  </si>
  <si>
    <t>5124200000</t>
  </si>
  <si>
    <t>5131000000</t>
  </si>
  <si>
    <t>5181000000</t>
  </si>
  <si>
    <t>5182000000</t>
  </si>
  <si>
    <t>5182100000</t>
  </si>
  <si>
    <t>5182200000</t>
  </si>
  <si>
    <t>5182300000</t>
  </si>
  <si>
    <t>5182330000</t>
  </si>
  <si>
    <t>5183100000</t>
  </si>
  <si>
    <t>5185000000</t>
  </si>
  <si>
    <t>5186100000</t>
  </si>
  <si>
    <t>5186200000</t>
  </si>
  <si>
    <t>5186300000</t>
  </si>
  <si>
    <t>5187000000</t>
  </si>
  <si>
    <t>5189100000</t>
  </si>
  <si>
    <t>5189200000</t>
  </si>
  <si>
    <t>5189300000</t>
  </si>
  <si>
    <t>5211100000</t>
  </si>
  <si>
    <t>5211200000</t>
  </si>
  <si>
    <t>5212100000</t>
  </si>
  <si>
    <t>5212200000</t>
  </si>
  <si>
    <t>5241100000</t>
  </si>
  <si>
    <t>5241200000</t>
  </si>
  <si>
    <t>5242100000</t>
  </si>
  <si>
    <t>5242200000</t>
  </si>
  <si>
    <t>5271000000</t>
  </si>
  <si>
    <t>5272000000</t>
  </si>
  <si>
    <t>5281000000</t>
  </si>
  <si>
    <t>5283000000</t>
  </si>
  <si>
    <t>5311000000</t>
  </si>
  <si>
    <t>5321000000</t>
  </si>
  <si>
    <t>5411000000</t>
  </si>
  <si>
    <t>5431000000</t>
  </si>
  <si>
    <t>5442000000</t>
  </si>
  <si>
    <t>5443000000</t>
  </si>
  <si>
    <t>5444000000</t>
  </si>
  <si>
    <t>5445000000</t>
  </si>
  <si>
    <t>5461000000</t>
  </si>
  <si>
    <t>5471000000</t>
  </si>
  <si>
    <t>5491000000</t>
  </si>
  <si>
    <t>5492000000</t>
  </si>
  <si>
    <t>5495000000</t>
  </si>
  <si>
    <t>5497000000</t>
  </si>
  <si>
    <t>5498000000</t>
  </si>
  <si>
    <t>5499100000</t>
  </si>
  <si>
    <t>5499200000</t>
  </si>
  <si>
    <t>5499300000</t>
  </si>
  <si>
    <t>5499400000</t>
  </si>
  <si>
    <t>5499700000</t>
  </si>
  <si>
    <t>5511100000</t>
  </si>
  <si>
    <t>5511200000</t>
  </si>
  <si>
    <t>5582000000</t>
  </si>
  <si>
    <t>5621000000</t>
  </si>
  <si>
    <t>5911000000</t>
  </si>
  <si>
    <t>5913000000</t>
  </si>
  <si>
    <t>6021110000</t>
  </si>
  <si>
    <t>6021120000</t>
  </si>
  <si>
    <t>6021220000</t>
  </si>
  <si>
    <t>6021240000</t>
  </si>
  <si>
    <t>6021260000</t>
  </si>
  <si>
    <t>6021280000</t>
  </si>
  <si>
    <t>6021320000</t>
  </si>
  <si>
    <t>6021520000</t>
  </si>
  <si>
    <t>6021620000</t>
  </si>
  <si>
    <t>6021810000</t>
  </si>
  <si>
    <t>6021920000</t>
  </si>
  <si>
    <t>6021940000</t>
  </si>
  <si>
    <t>6021950000</t>
  </si>
  <si>
    <t>6021960000</t>
  </si>
  <si>
    <t>6021990000</t>
  </si>
  <si>
    <t>6022000000</t>
  </si>
  <si>
    <t>6022010000</t>
  </si>
  <si>
    <t>6022100000</t>
  </si>
  <si>
    <t>6022110000</t>
  </si>
  <si>
    <t>6022120000</t>
  </si>
  <si>
    <t>6022130000</t>
  </si>
  <si>
    <t>6022140000</t>
  </si>
  <si>
    <t>6022150000</t>
  </si>
  <si>
    <t>6022160000</t>
  </si>
  <si>
    <t>6022170000</t>
  </si>
  <si>
    <t>6022180000</t>
  </si>
  <si>
    <t>6022190000</t>
  </si>
  <si>
    <t>6022200000</t>
  </si>
  <si>
    <t>6022210000</t>
  </si>
  <si>
    <t>6022230000</t>
  </si>
  <si>
    <t>6022250000</t>
  </si>
  <si>
    <t>6022260000</t>
  </si>
  <si>
    <t>6022270000</t>
  </si>
  <si>
    <t>6022280000</t>
  </si>
  <si>
    <t>6022290000</t>
  </si>
  <si>
    <t>6022300000</t>
  </si>
  <si>
    <t>6022310000</t>
  </si>
  <si>
    <t>6023010000</t>
  </si>
  <si>
    <t>6023030000</t>
  </si>
  <si>
    <t>6023040000</t>
  </si>
  <si>
    <t>6023060000</t>
  </si>
  <si>
    <t>6023070000</t>
  </si>
  <si>
    <t>6023080000</t>
  </si>
  <si>
    <t>6023090000</t>
  </si>
  <si>
    <t>6023100000</t>
  </si>
  <si>
    <t>6023110000</t>
  </si>
  <si>
    <t>6023120000</t>
  </si>
  <si>
    <t>6023130000</t>
  </si>
  <si>
    <t>6041000000</t>
  </si>
  <si>
    <t>6221000000</t>
  </si>
  <si>
    <t>6441000000</t>
  </si>
  <si>
    <t>6442000000</t>
  </si>
  <si>
    <t>6443000000</t>
  </si>
  <si>
    <t>6444000000</t>
  </si>
  <si>
    <t>6461000000</t>
  </si>
  <si>
    <t>6494000000</t>
  </si>
  <si>
    <t>6495000000</t>
  </si>
  <si>
    <t>6499000000</t>
  </si>
  <si>
    <t>6561000000</t>
  </si>
  <si>
    <t>6591000000</t>
  </si>
  <si>
    <t>6621000000</t>
  </si>
  <si>
    <t>6625000000</t>
  </si>
  <si>
    <t>6631000000</t>
  </si>
  <si>
    <t>6651000000</t>
  </si>
  <si>
    <t>6652000000</t>
  </si>
  <si>
    <t>6911000000</t>
  </si>
  <si>
    <t>7831000000</t>
  </si>
  <si>
    <t>ENERGETICKÉ HNACIE STROJE</t>
  </si>
  <si>
    <t>7841000000</t>
  </si>
  <si>
    <t>PRACOVNÉ STROJE A ZARIADENIA-I</t>
  </si>
  <si>
    <t>7851000000</t>
  </si>
  <si>
    <t>ZDRAVOTNÍCKA TECHNIKA</t>
  </si>
  <si>
    <t>7861000000</t>
  </si>
  <si>
    <t>DOPRAVNÉ PROSTRIEDKY</t>
  </si>
  <si>
    <t>7871000000</t>
  </si>
  <si>
    <t>NAJATÝ DLHODOBÝ NEHMOTNÝ MAJET</t>
  </si>
  <si>
    <t>7921000000</t>
  </si>
  <si>
    <t>DROBNÝ HMOTNÝ A NEHMOTNÝ MAJET</t>
  </si>
  <si>
    <t>7922000000</t>
  </si>
  <si>
    <t>DROBNÝ HMOTNÝ A NEHM.MAJ-HM.</t>
  </si>
  <si>
    <t>7999000000</t>
  </si>
  <si>
    <t>VYROVNÁVACÍ ÚČET K PODSÚVAHOVY</t>
  </si>
  <si>
    <t>KD aktiva</t>
  </si>
  <si>
    <t>KD zavazky</t>
  </si>
  <si>
    <t>Nehmotné výsledky z vývojovej a obdobnej činnosti</t>
  </si>
  <si>
    <t>Obstaranie dlhodobého nehmotného majetku</t>
  </si>
  <si>
    <t>Poskytnuté preddavky na dlhodobý nehmotný majetok</t>
  </si>
  <si>
    <t>Celkom</t>
  </si>
  <si>
    <t>Riadok súvahy</t>
  </si>
  <si>
    <t>Prvotné ocenenie</t>
  </si>
  <si>
    <t>-</t>
  </si>
  <si>
    <t>Prírastky</t>
  </si>
  <si>
    <t>Úbytky</t>
  </si>
  <si>
    <t>Presuny</t>
  </si>
  <si>
    <t>Oprávky</t>
  </si>
  <si>
    <t>Opravná položka</t>
  </si>
  <si>
    <t xml:space="preserve">Zostatková hodnota </t>
  </si>
  <si>
    <t>Umelecké diela a zbierky</t>
  </si>
  <si>
    <t>Základné stádo a ťažné zvieratá</t>
  </si>
  <si>
    <t>Drobný a ostatný dlhodobý hmotný majetok</t>
  </si>
  <si>
    <t>Poskytnuté preddavky</t>
  </si>
  <si>
    <t>HK</t>
  </si>
  <si>
    <t>rozdiel</t>
  </si>
  <si>
    <t>Bankové účty s dobou viazanosti dlhšou ako jeden rok</t>
  </si>
  <si>
    <t>Stav</t>
  </si>
  <si>
    <t>Tvorba</t>
  </si>
  <si>
    <t>Zníženie – použitie OP</t>
  </si>
  <si>
    <t>Zúčtovanie -</t>
  </si>
  <si>
    <t>rozpustenie OP</t>
  </si>
  <si>
    <t>Pohľadávky z obchodného styku</t>
  </si>
  <si>
    <t>Pohľadávky do lehoty splatnosti</t>
  </si>
  <si>
    <t>Pohľadávky po lehote splatnosti, z toho</t>
  </si>
  <si>
    <t>v splatnosti</t>
  </si>
  <si>
    <t>do 90 dni</t>
  </si>
  <si>
    <t>do 180 dni</t>
  </si>
  <si>
    <t>do 365 dni</t>
  </si>
  <si>
    <t>nad 365 dni</t>
  </si>
  <si>
    <t>Krátkodobé pohľadávky</t>
  </si>
  <si>
    <t>Pohľadávky z obchodného styku (r. 043)</t>
  </si>
  <si>
    <t>Ostatné pohľadávky (r.044)</t>
  </si>
  <si>
    <t>Zúčtovanie so Sociálnou poisťovňou a zdravotnými poisťovňami (r. 045)</t>
  </si>
  <si>
    <t>Daňové pohľadávky (r.046)</t>
  </si>
  <si>
    <t>Pohľadávky z dôvodu fin. vzťahov k štátnemu rozpočtu  a rozpočtom miestnej samosprávy (r.047)</t>
  </si>
  <si>
    <t>Pohľadávky voči účastníkom združení (r.048)</t>
  </si>
  <si>
    <t>Spojovací účet pri združení (r.049)</t>
  </si>
  <si>
    <t>Iné pohľadávky (r.050)</t>
  </si>
  <si>
    <t>ZP</t>
  </si>
  <si>
    <t>Imanie a fondy</t>
  </si>
  <si>
    <t xml:space="preserve"> z toho:</t>
  </si>
  <si>
    <t xml:space="preserve">   nadačné imanie v nadácii</t>
  </si>
  <si>
    <t xml:space="preserve">   vklady zakladateľov</t>
  </si>
  <si>
    <t xml:space="preserve">   prioritný majetok</t>
  </si>
  <si>
    <t>Fondy zo zisku</t>
  </si>
  <si>
    <t>Výsledok hospodárenia za účtovné obdobie</t>
  </si>
  <si>
    <t>Použitie</t>
  </si>
  <si>
    <t>Zrušenie alebo zníženie rezerv</t>
  </si>
  <si>
    <t>Mzdy za nevyčerpanú dovolenku vrátane sociálneho zabezpečenia</t>
  </si>
  <si>
    <t>Rezerva na audit účtovnej závierky</t>
  </si>
  <si>
    <t>Rezerva na bonusy</t>
  </si>
  <si>
    <t>Krátkodobé rezervy spolu</t>
  </si>
  <si>
    <t>Záväzky po lehote splatnosti</t>
  </si>
  <si>
    <t>Záväzky do lehoty splatnosti so zostatkovou dobou splatnosti do jedného roka</t>
  </si>
  <si>
    <t>Krátkodobé záväzky spolu</t>
  </si>
  <si>
    <t>Záväzky so zostatkovou dobou splatnosti 1 až 5 rokov</t>
  </si>
  <si>
    <t>Záväzky so zostatkovou dobou splatnosti viac ako 5 rokov</t>
  </si>
  <si>
    <t>Dlhodobé záväzky spolu</t>
  </si>
  <si>
    <t>Krátkodobé a dlhodobé záväzky spolu</t>
  </si>
  <si>
    <t>Stav k 1. januáru</t>
  </si>
  <si>
    <t>Tvorba na ťarchu nákladov</t>
  </si>
  <si>
    <t>Tvorba zo zisku</t>
  </si>
  <si>
    <t>Čerpanie, z toho</t>
  </si>
  <si>
    <t>Stav k 31. decembru</t>
  </si>
  <si>
    <t>Hlavná činnosť</t>
  </si>
  <si>
    <t>Podnikateľská činnosť</t>
  </si>
  <si>
    <t>%</t>
  </si>
  <si>
    <t>Tržby za zdravotnú starostlivosť od zdravotných poisťovní</t>
  </si>
  <si>
    <t>Ostatné tržby za poskytnutú zdravotnú starostlivosť</t>
  </si>
  <si>
    <t>Tržby za stravovanie</t>
  </si>
  <si>
    <t>Tržby za pranie</t>
  </si>
  <si>
    <t>Tržby z obratového nájomného</t>
  </si>
  <si>
    <t xml:space="preserve">Ostatné </t>
  </si>
  <si>
    <t>Tržby z predaja služieb spolu</t>
  </si>
  <si>
    <t>Tržby za vlastné výkony a tovar spolu</t>
  </si>
  <si>
    <t>a/a/c</t>
  </si>
  <si>
    <t>Popis</t>
  </si>
  <si>
    <t xml:space="preserve">suma </t>
  </si>
  <si>
    <t>Zákonné sociálne náklady-stravovanie zam</t>
  </si>
  <si>
    <t>refakturacia</t>
  </si>
  <si>
    <t>VC</t>
  </si>
  <si>
    <t>HC</t>
  </si>
  <si>
    <t>Položky výnosov budúcich období z dôvodu</t>
  </si>
  <si>
    <t>bezodplatne nadobudnutého dlhodobého majetku</t>
  </si>
  <si>
    <t>dlhodobého majetku obstaraného z dotácie</t>
  </si>
  <si>
    <t>dlhodobého majetku obstaraného z finančného daru</t>
  </si>
  <si>
    <t>dotácie zo štátneho rozpočtu alebo z prostriedkov Európskej únie </t>
  </si>
  <si>
    <t>dotácie z rozpočtu obce alebo z rozpočtu vyššieho územného celku</t>
  </si>
  <si>
    <t>nepoužitej časti podielu zaplatenej dane</t>
  </si>
  <si>
    <t>dlhodobého  majetku  obstaraného z podielu zaplatenej dane</t>
  </si>
  <si>
    <t>ostatné</t>
  </si>
  <si>
    <t>najomne</t>
  </si>
  <si>
    <t>Výkony výpočtovej techniky</t>
  </si>
  <si>
    <t>Výkony spojov</t>
  </si>
  <si>
    <t>Audítorské, právne a poradenské služby</t>
  </si>
  <si>
    <t>Tržby z predaja dlhodobého nehmotného a dlhodobého hmotného majetku</t>
  </si>
  <si>
    <t>kategória do poznámok</t>
  </si>
  <si>
    <t>korekcia</t>
  </si>
  <si>
    <t>HC final</t>
  </si>
  <si>
    <t xml:space="preserve">Úroky </t>
  </si>
  <si>
    <t>Kurzové zisky, z toho</t>
  </si>
  <si>
    <t>kurzové zisky ku dňu, ku ktorému sa zostavuje účtovná závierka</t>
  </si>
  <si>
    <t>Ostatné výnosy spolu</t>
  </si>
  <si>
    <t>vc</t>
  </si>
  <si>
    <t>Výnosy z prenájmu majetku</t>
  </si>
  <si>
    <t>Tržby z predaja a prenájmu majetku spolu</t>
  </si>
  <si>
    <t>Pranie bielizne</t>
  </si>
  <si>
    <t>Ostatné služby spolu</t>
  </si>
  <si>
    <t>Zmluvné pokuty a úroky z omeškania</t>
  </si>
  <si>
    <t>Odpísané pohľadávky</t>
  </si>
  <si>
    <t>Kurzové straty, z toho</t>
  </si>
  <si>
    <t>kurzové straty ku dňu, ku ktorému sa zostavuje účtovná závierka</t>
  </si>
  <si>
    <t>poistné</t>
  </si>
  <si>
    <t>Ostatné náklady spolu</t>
  </si>
  <si>
    <t>KD cast 384</t>
  </si>
  <si>
    <t>ÚČTOVNÁ ZÁVIERKA</t>
  </si>
  <si>
    <t>Úč NUJ</t>
  </si>
  <si>
    <t>neziskovej účtovnej jednotky</t>
  </si>
  <si>
    <t>v sústave podvojného účtovníctva</t>
  </si>
  <si>
    <t>zostavená</t>
  </si>
  <si>
    <t>zostavená k</t>
  </si>
  <si>
    <t>Obchodné meno alebo názov účtovnej jednotky</t>
  </si>
  <si>
    <t>schválená</t>
  </si>
  <si>
    <t>Ulica</t>
  </si>
  <si>
    <t>Číslo</t>
  </si>
  <si>
    <t>Obec</t>
  </si>
  <si>
    <t xml:space="preserve"> riadna</t>
  </si>
  <si>
    <t xml:space="preserve"> mimoriadna</t>
  </si>
  <si>
    <t xml:space="preserve"> zostavená</t>
  </si>
  <si>
    <t xml:space="preserve"> schválená</t>
  </si>
  <si>
    <t xml:space="preserve">od </t>
  </si>
  <si>
    <t xml:space="preserve">do </t>
  </si>
  <si>
    <t>SK NACE</t>
  </si>
  <si>
    <t>Za obdobie</t>
  </si>
  <si>
    <t>Bezprostredne predchádzajúce obdobie</t>
  </si>
  <si>
    <t>Priložené súčasti účtovnej závierky</t>
  </si>
  <si>
    <t>Súvaha (Úč NUJ 1-01)</t>
  </si>
  <si>
    <t>Výkaz ziskov a strát (Úč NUJ 2-01)</t>
  </si>
  <si>
    <t>Poznámky (Úč NUJ 3-01)</t>
  </si>
  <si>
    <t>Účtovná závierka</t>
  </si>
  <si>
    <t>E-mailová adresa</t>
  </si>
  <si>
    <t>Schválená dňa:</t>
  </si>
  <si>
    <t>Adresa - ulica</t>
  </si>
  <si>
    <t>Adresa - číslo ulice</t>
  </si>
  <si>
    <t>Rezervy zákonné                                                      (451AÚ)</t>
  </si>
  <si>
    <t>Ostatné rezervy                                                        (459AÚ)</t>
  </si>
  <si>
    <t>Záväzky z nájmu                                                      (474 AÚ)</t>
  </si>
  <si>
    <t xml:space="preserve">Rezervy                                                     r. 076 až r. 078 </t>
  </si>
  <si>
    <t>Dlhodobé záväzky                                   r. 080 až r. 086</t>
  </si>
  <si>
    <t>Krátkodobé záväzky                                 r. 088 až r. 096</t>
  </si>
  <si>
    <t>Bankové výpomoci a pôžičky                 r. 098 až r. 100</t>
  </si>
  <si>
    <t>Daňové záväzky                                                (341 až 345)</t>
  </si>
  <si>
    <t>Vydané dlhopisy                                                            (473)</t>
  </si>
  <si>
    <t>Záväzky zo sociálneho  fondu                                      (472)</t>
  </si>
  <si>
    <t>Základné imanie                                                                (411)</t>
  </si>
  <si>
    <t>Peňažné fondy tvorené podľa osobitného predpisu        (412)</t>
  </si>
  <si>
    <t>Fondy tvorené zo zisku                              r. 069 až r. 071</t>
  </si>
  <si>
    <t>Imanie a peňažné fondy                             r. 063 až r. 067</t>
  </si>
  <si>
    <t>Záväzky z dôvodu finančných vzťahov k štátnemu rozpočtu a rozpočtom územnej samosprávy                           (346+348)</t>
  </si>
  <si>
    <t>Dlhodobý hmotný majetok                       r. 010 až r. 020</t>
  </si>
  <si>
    <t>Dlhodobý nehmotný majetok                  r. 003 až r. 008</t>
  </si>
  <si>
    <t>Pozemky                                                                       (031)</t>
  </si>
  <si>
    <t>Stavby                                                    021 - (081 - 092AÚ)</t>
  </si>
  <si>
    <t>Drobný dlhodobý hmotný majetok           028 - (088 + 092AÚ)</t>
  </si>
  <si>
    <t>Pestovateľské celky trvalých porastov   025 - (085 + 092AÚ)</t>
  </si>
  <si>
    <t>Dopravné prostriedky                              023 - (083 + 092AÚ)</t>
  </si>
  <si>
    <t>Základné stádo a ťažné zvieratá            026 - (086 + 092AÚ)</t>
  </si>
  <si>
    <t>Obstaranie dlhodobého hmotného majetku         (042 - 094)</t>
  </si>
  <si>
    <t>Záväzky voči účastníkom združení                               (368)</t>
  </si>
  <si>
    <t>Spojovací účet pri združení                                           (396)</t>
  </si>
  <si>
    <t>Prijaté krátkodobé finančné výpomoci                 (241+ 249)</t>
  </si>
  <si>
    <t>Výdavky budúcich období                                             (383)</t>
  </si>
  <si>
    <t>Výnosy budúcich období                                               (384)</t>
  </si>
  <si>
    <t>Oceniteľné práva                                    014 - (074 + 091AÚ)</t>
  </si>
  <si>
    <t>Ostatné fondy                                                                  (427)</t>
  </si>
  <si>
    <t>Fondy tvorené zo zisku                                                   (423)</t>
  </si>
  <si>
    <t>Rezervný fond                                                                 (421)</t>
  </si>
  <si>
    <t>k 1. 1. 2014</t>
  </si>
  <si>
    <t>k 31. 12. 2014</t>
  </si>
  <si>
    <t xml:space="preserve">Ostatný dlhodobý finančný majetok               (069 - 096 AÚ)  </t>
  </si>
  <si>
    <t>Samostatné hnuteľné veci a súbory hnuteľných vecí 
022 - (082 + 092AÚ)</t>
  </si>
  <si>
    <t>C. ČASOVÉ ROZLÍŠENIE  SPOLU                      r. 102 a r. 103</t>
  </si>
  <si>
    <t>MAJETOK  SPOLU                                 r. 001 + r. 029 + r. 057</t>
  </si>
  <si>
    <t>Pohľadávky voči účastníkom združení        (358 AÚ - 391AÚ)</t>
  </si>
  <si>
    <t>Bankové účty s dobou viazanosti dlhšou ako jeden rok  
(221 AÚ)</t>
  </si>
  <si>
    <t>Ostatné pohľadávky                                (315 AÚ  -  391 AÚ)</t>
  </si>
  <si>
    <t>Ostatné pohľadávky                                 (315 AÚ  -  391AÚ)</t>
  </si>
  <si>
    <t>Výrobky                                                              (123  - 194)</t>
  </si>
  <si>
    <t xml:space="preserve">Daňové pohľadávky                                            (341 až 345) </t>
  </si>
  <si>
    <t>EUR</t>
  </si>
  <si>
    <t>Účet_AS</t>
  </si>
  <si>
    <t>Konečný zostatok</t>
  </si>
  <si>
    <t>Ostatné</t>
  </si>
  <si>
    <t>Upratovanie</t>
  </si>
  <si>
    <t>Pranie</t>
  </si>
  <si>
    <t>86.90.0</t>
  </si>
  <si>
    <t>K 1. januáru 2014</t>
  </si>
  <si>
    <t>K 31. decembru 2014</t>
  </si>
  <si>
    <t>12-2014</t>
  </si>
  <si>
    <t>Uprava mngt fee</t>
  </si>
  <si>
    <t>AUDIT HK</t>
  </si>
  <si>
    <t>HV z VC</t>
  </si>
  <si>
    <t>diff</t>
  </si>
  <si>
    <t>DLHODOBY NEHMOTNY MAJETOK</t>
  </si>
  <si>
    <t>DLHODOBY HMOTNY MAJETOK</t>
  </si>
  <si>
    <t>PENIAZE</t>
  </si>
  <si>
    <t>17-18</t>
  </si>
  <si>
    <t>OP K POHLADAVKAM</t>
  </si>
  <si>
    <t>OK</t>
  </si>
  <si>
    <t>POHLADAVKY</t>
  </si>
  <si>
    <t>Mena</t>
  </si>
  <si>
    <t>ageing</t>
  </si>
  <si>
    <r>
      <t xml:space="preserve">-       </t>
    </r>
    <r>
      <rPr>
        <i/>
        <sz val="8"/>
        <rFont val="Arial Narrow"/>
        <family val="2"/>
        <charset val="238"/>
      </rPr>
      <t>do 90 dní po lehote splatnosti</t>
    </r>
  </si>
  <si>
    <r>
      <t xml:space="preserve">-       </t>
    </r>
    <r>
      <rPr>
        <i/>
        <sz val="8"/>
        <rFont val="Arial Narrow"/>
        <family val="2"/>
        <charset val="238"/>
      </rPr>
      <t>do 180 dní po lehote splatnosti</t>
    </r>
  </si>
  <si>
    <r>
      <t xml:space="preserve">-       </t>
    </r>
    <r>
      <rPr>
        <i/>
        <sz val="8"/>
        <rFont val="Arial Narrow"/>
        <family val="2"/>
        <charset val="238"/>
      </rPr>
      <t>do 365 dní po lehote splatnosti</t>
    </r>
  </si>
  <si>
    <r>
      <t xml:space="preserve">-       </t>
    </r>
    <r>
      <rPr>
        <i/>
        <sz val="8"/>
        <rFont val="Arial Narrow"/>
        <family val="2"/>
        <charset val="238"/>
      </rPr>
      <t>nad 365 dní po lehote splatnosti</t>
    </r>
  </si>
  <si>
    <t>OP K ZASOBAM</t>
  </si>
  <si>
    <t>Nedokončená výroba a polotovary vlastnej výroby</t>
  </si>
  <si>
    <t>Poskytnuté prevádzkové preddavky na zásoby</t>
  </si>
  <si>
    <t>Opis 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</si>
  <si>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</si>
  <si>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</si>
  <si>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</si>
  <si>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</si>
  <si>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</si>
  <si>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nad 365</t>
  </si>
  <si>
    <t>do 90</t>
  </si>
  <si>
    <t>do 180</t>
  </si>
  <si>
    <t>do 365</t>
  </si>
  <si>
    <t>k 31.12.2014</t>
  </si>
  <si>
    <r>
      <t xml:space="preserve">-  </t>
    </r>
    <r>
      <rPr>
        <i/>
        <sz val="8"/>
        <color rgb="FF000000"/>
        <rFont val="Arial Narrow"/>
        <family val="2"/>
        <charset val="238"/>
      </rPr>
      <t>peňažné plnenie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</si>
  <si>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jubileá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</si>
  <si>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príspevok na stravu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</si>
  <si>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ostatné</t>
    </r>
  </si>
  <si>
    <t>finančný dar Velux</t>
  </si>
  <si>
    <t>k 1.1.2014</t>
  </si>
  <si>
    <t>VLASTNE IMANIE</t>
  </si>
  <si>
    <t>REZERVY</t>
  </si>
  <si>
    <t>ZAVAZKY</t>
  </si>
  <si>
    <r>
      <t xml:space="preserve">-  </t>
    </r>
    <r>
      <rPr>
        <i/>
        <sz val="8"/>
        <color rgb="FF000000"/>
        <rFont val="Arial Narrow"/>
        <family val="2"/>
        <charset val="238"/>
      </rPr>
      <t>doprava do zamestnania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</si>
  <si>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sociálna výpomoc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</si>
  <si>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zdravotná starostlivosť</t>
    </r>
  </si>
  <si>
    <t>-  účasť na kultúrnych a športových podujatiach</t>
  </si>
  <si>
    <t>SOCIALNY FOND</t>
  </si>
  <si>
    <t>Výdavky budúcich období:</t>
  </si>
  <si>
    <t>Výnosy budúcich období:</t>
  </si>
  <si>
    <r>
      <t xml:space="preserve">-  </t>
    </r>
    <r>
      <rPr>
        <i/>
        <sz val="8"/>
        <color rgb="FF000000"/>
        <rFont val="Arial Narrow"/>
        <family val="2"/>
        <charset val="238"/>
      </rPr>
      <t>časovo rozlíšené úroky z cash-poolingu</t>
    </r>
  </si>
  <si>
    <t>-  odpisy majetku prijatého z daru</t>
  </si>
  <si>
    <t>-  ostatné</t>
  </si>
  <si>
    <t>CASOVE ROZLISENIE</t>
  </si>
  <si>
    <t>POZICKY</t>
  </si>
  <si>
    <t>KD cast 383</t>
  </si>
  <si>
    <t>Názov položky</t>
  </si>
  <si>
    <t>Úrok p. a. v %</t>
  </si>
  <si>
    <t>Splatnosť</t>
  </si>
  <si>
    <t>Forma zabezpečenia</t>
  </si>
  <si>
    <t>Suma záväzku v príslušnej mene k 31.1.2014</t>
  </si>
  <si>
    <t>Suma záväzku príslušnej mene k 31.12.2013</t>
  </si>
  <si>
    <t>Pôžička (cash-pooling)</t>
  </si>
  <si>
    <t>1M EURIBOR + 1,7% p.a.</t>
  </si>
  <si>
    <t>Pohľadávky voči zdravotným poisťovniam</t>
  </si>
  <si>
    <t>Pôžička</t>
  </si>
  <si>
    <t xml:space="preserve">5,5% p.a. </t>
  </si>
  <si>
    <t>Nájomné a služby spojené s nájmom</t>
  </si>
  <si>
    <t>Stravovanie</t>
  </si>
  <si>
    <t>VC: Ostatné tržby za poskytnutú zdravotnú starostlivosť</t>
  </si>
  <si>
    <t>VC: ostatné</t>
  </si>
  <si>
    <t>Tržby z nájomného a zo služieb spojených s nájmom</t>
  </si>
  <si>
    <t>VYNOSY - 60x</t>
  </si>
  <si>
    <t>VYNOSY - ostatne</t>
  </si>
  <si>
    <t>VC: Pranie</t>
  </si>
  <si>
    <t>Revízie a servis zdrav. techniky</t>
  </si>
  <si>
    <t>VC: Výkony výpočtovej techniky</t>
  </si>
  <si>
    <t>VC: Výkony spojov</t>
  </si>
  <si>
    <t>VC: Audítorské, právne a poradenské služby</t>
  </si>
  <si>
    <t>VC: Revízie a servis zdrav. techniky</t>
  </si>
  <si>
    <t>VC: Upratovanie</t>
  </si>
  <si>
    <t>Likvidácia odpadu</t>
  </si>
  <si>
    <t>VC: Likvidácia odpadu</t>
  </si>
  <si>
    <t>LSPP a iné zdravotné služby</t>
  </si>
  <si>
    <t>VC: Ostatné služby</t>
  </si>
  <si>
    <t>Nájomné</t>
  </si>
  <si>
    <t xml:space="preserve">VC: Nájomné  </t>
  </si>
  <si>
    <t>Obrat za 01-2014 - 12-2014</t>
  </si>
  <si>
    <t>ZISK za 2014</t>
  </si>
  <si>
    <t>auditovana</t>
  </si>
  <si>
    <t>Úèet</t>
  </si>
  <si>
    <t>Názov úètu</t>
  </si>
  <si>
    <t>Final 31.12.2013</t>
  </si>
  <si>
    <t>Poèiatoèný stav</t>
  </si>
  <si>
    <t>Má da</t>
  </si>
  <si>
    <t>Dal</t>
  </si>
  <si>
    <t>Koneèný stav</t>
  </si>
  <si>
    <t>013.100000000</t>
  </si>
  <si>
    <t>- softvér nad 2.400 EUR pre zdrav.úèely</t>
  </si>
  <si>
    <t>022.100000000</t>
  </si>
  <si>
    <t>- zdrav.stroje a zariadenia</t>
  </si>
  <si>
    <t>022.300000000</t>
  </si>
  <si>
    <t>- kancelárska technika</t>
  </si>
  <si>
    <t>023.100000000</t>
  </si>
  <si>
    <t>- dopravné prostriedky sanitné</t>
  </si>
  <si>
    <t>028.100000000</t>
  </si>
  <si>
    <t>- drobný dlhodobý hmotný majetok</t>
  </si>
  <si>
    <t>042.210000000</t>
  </si>
  <si>
    <t>- obstaranie zdrav.strojov a zariad.</t>
  </si>
  <si>
    <t>042.610000000</t>
  </si>
  <si>
    <t>- obstaranie drobného dlh.hmotn.maj.</t>
  </si>
  <si>
    <t>073.100000000</t>
  </si>
  <si>
    <t>- oprávky k softvéru na zdrav. úèely</t>
  </si>
  <si>
    <t>082.100000000</t>
  </si>
  <si>
    <t>- oprávky k zdrav.str.a zariad.</t>
  </si>
  <si>
    <t>082.200000000</t>
  </si>
  <si>
    <t>- oprávky k výpoètovej technike</t>
  </si>
  <si>
    <t>082.300000000</t>
  </si>
  <si>
    <t>- oprávky ku kancelárskej technike</t>
  </si>
  <si>
    <t>082.400000000</t>
  </si>
  <si>
    <t>- oprávky k ost. str., prístr. a zariad.</t>
  </si>
  <si>
    <t>083.100000000</t>
  </si>
  <si>
    <t>- oprávky k dopravným prostr.-sanitným</t>
  </si>
  <si>
    <t>088.100000000</t>
  </si>
  <si>
    <t>- oprávky k drobnému dlh.hmotn.maj.</t>
  </si>
  <si>
    <t>112.110000000</t>
  </si>
  <si>
    <t>-- potraviny</t>
  </si>
  <si>
    <t>112.120000000</t>
  </si>
  <si>
    <t>-- pohonné látky a mazadlá spolu</t>
  </si>
  <si>
    <t>112.130000000</t>
  </si>
  <si>
    <t>-- lieky</t>
  </si>
  <si>
    <t>112.140000000</t>
  </si>
  <si>
    <t>-- krv a krvné výrobky</t>
  </si>
  <si>
    <t>112.150000000</t>
  </si>
  <si>
    <t>-- špec.zdrav. materiál</t>
  </si>
  <si>
    <t>112.160000000</t>
  </si>
  <si>
    <t>-- obaly</t>
  </si>
  <si>
    <t>112.180000000</t>
  </si>
  <si>
    <t>-- zásoby L a ŠZM na odd. spolu</t>
  </si>
  <si>
    <t>191.100000000</t>
  </si>
  <si>
    <t>- opravná položka k zásobám plazmy</t>
  </si>
  <si>
    <t>211.100000000</t>
  </si>
  <si>
    <t>- pokladnica hlavná EUR</t>
  </si>
  <si>
    <t>221.100000000</t>
  </si>
  <si>
    <t>- bežný úèet hlavný   2923123454/1100</t>
  </si>
  <si>
    <t>221.200000000</t>
  </si>
  <si>
    <t>- bežný úèet ved¾ajší 2929123463/1100</t>
  </si>
  <si>
    <t>249.100000000</t>
  </si>
  <si>
    <t>- CASH POOLING-pohyby pri debet.poz.</t>
  </si>
  <si>
    <t>261.100000000</t>
  </si>
  <si>
    <t>- peniaze na ceste:  pokladnica - banka</t>
  </si>
  <si>
    <t>261.200000000</t>
  </si>
  <si>
    <t>- peniaze na ceste medzi bank. úètami</t>
  </si>
  <si>
    <t>311.100000000</t>
  </si>
  <si>
    <t>- odberatelia - tuzemskí mimo ZS</t>
  </si>
  <si>
    <t>311.200000000</t>
  </si>
  <si>
    <t>- odberatelia - zdravotné pois. SPOLU</t>
  </si>
  <si>
    <t>311.400000000</t>
  </si>
  <si>
    <t>- poh¾adávky za ZS- ETP, IOM, MV</t>
  </si>
  <si>
    <t>314.100000000</t>
  </si>
  <si>
    <t>- poskytnuté preddavky</t>
  </si>
  <si>
    <t>315.100000000</t>
  </si>
  <si>
    <t>- ostatné poh¾adávky - refakturácia</t>
  </si>
  <si>
    <t>321.100000000</t>
  </si>
  <si>
    <t>- dodávatelia tuzemskí</t>
  </si>
  <si>
    <t>321.200000000</t>
  </si>
  <si>
    <t>- dodávatelia z krajín EÚ</t>
  </si>
  <si>
    <t>323.100000000</t>
  </si>
  <si>
    <t>-- krátkodobé zákonné rezervy</t>
  </si>
  <si>
    <t>324.100000000</t>
  </si>
  <si>
    <t>- prijaté preddavky</t>
  </si>
  <si>
    <t>325.100000000</t>
  </si>
  <si>
    <t>- ostat.záv.-refakturácia KDB</t>
  </si>
  <si>
    <t>325.300000000</t>
  </si>
  <si>
    <t>- ostatné záväzky</t>
  </si>
  <si>
    <t>326.100000000</t>
  </si>
  <si>
    <t>- nevyfakturované dodávky</t>
  </si>
  <si>
    <t>331.100000000</t>
  </si>
  <si>
    <t>- zamestnanci</t>
  </si>
  <si>
    <t>333.100000000</t>
  </si>
  <si>
    <t>- ostatné záväzky voèi zamestnancom</t>
  </si>
  <si>
    <t>335.100000000</t>
  </si>
  <si>
    <t>- zálohy na pracovné cesty v tuzemsku</t>
  </si>
  <si>
    <t>335.200000000</t>
  </si>
  <si>
    <t>- zálohy na drobné nákupy + darci</t>
  </si>
  <si>
    <t>335.300000000</t>
  </si>
  <si>
    <t>- poh¾adávky za stravovanie zamestnancov</t>
  </si>
  <si>
    <t>335.400000000</t>
  </si>
  <si>
    <t>- ostatné poh¾adávky voèi zamestnancom</t>
  </si>
  <si>
    <t>335.500000000</t>
  </si>
  <si>
    <t>- poh¾adávky voèi zamestn.-uplatn.náhrad</t>
  </si>
  <si>
    <t>336.100000000</t>
  </si>
  <si>
    <t>- zúètov. so Sociálnou poisovòou</t>
  </si>
  <si>
    <t>336.200000000</t>
  </si>
  <si>
    <t>- zúètov. so zdrav.pois. SPOLU</t>
  </si>
  <si>
    <t>336.300000000</t>
  </si>
  <si>
    <t>- zúètov. doplnk. dôch. pois.</t>
  </si>
  <si>
    <t>341.100000000</t>
  </si>
  <si>
    <t>- DZP - daòové záväzky</t>
  </si>
  <si>
    <t>342.100000000</t>
  </si>
  <si>
    <t>- OPD - daòové záväzky</t>
  </si>
  <si>
    <t>343.100000000</t>
  </si>
  <si>
    <t>- DPH - VSTUP</t>
  </si>
  <si>
    <t>343.200000000</t>
  </si>
  <si>
    <t>- DPH - VÝSTUP</t>
  </si>
  <si>
    <t>348.200000000</t>
  </si>
  <si>
    <t>- dotácie a zúèt. s rozp.územnej samosp.</t>
  </si>
  <si>
    <t>378.200000000</t>
  </si>
  <si>
    <t>- poh¾adávky za refundácie</t>
  </si>
  <si>
    <t>378.300000000</t>
  </si>
  <si>
    <t>- iné poh¾adávky (inde nezar.)</t>
  </si>
  <si>
    <t>378.400000000</t>
  </si>
  <si>
    <t>- poh¾adávky za náhradu škôd</t>
  </si>
  <si>
    <t>378.700000000</t>
  </si>
  <si>
    <t>- CASH POOLING-pohyby pri kredit.poz.</t>
  </si>
  <si>
    <t>378.800000000</t>
  </si>
  <si>
    <t>- poh¾adávky za atest., PŠŠ, štúdium</t>
  </si>
  <si>
    <t>379.100000000</t>
  </si>
  <si>
    <t>- záväzky za  DPH v skupine</t>
  </si>
  <si>
    <t>379.400000000</t>
  </si>
  <si>
    <t>- zrážky z miezd</t>
  </si>
  <si>
    <t>379.500000000</t>
  </si>
  <si>
    <t>- poistné</t>
  </si>
  <si>
    <t>379.700000000</t>
  </si>
  <si>
    <t>- záväzky za pokuty,pen., úroky z omešk.</t>
  </si>
  <si>
    <t>379.900000000</t>
  </si>
  <si>
    <t>- iné záväzky inde nezaradené</t>
  </si>
  <si>
    <t>381.100000000</t>
  </si>
  <si>
    <t>- náklady budúcich období</t>
  </si>
  <si>
    <t>384.200000000</t>
  </si>
  <si>
    <t>- výnosy bud.obd. z bezodpl.nad.majetku</t>
  </si>
  <si>
    <t>384.300000000</t>
  </si>
  <si>
    <t>- výnosy bud.obd.-lieky</t>
  </si>
  <si>
    <t>385.100000000</t>
  </si>
  <si>
    <t>- príjmy budúcich období</t>
  </si>
  <si>
    <t>391.100000000</t>
  </si>
  <si>
    <t>- opravné položky k poh¾adávkam</t>
  </si>
  <si>
    <t>411.100000000</t>
  </si>
  <si>
    <t>- základné imanie z vkladov zakladate¾ov</t>
  </si>
  <si>
    <t>411.200000000</t>
  </si>
  <si>
    <t>- základné imanie z bezodpl.nad.dlh.maje</t>
  </si>
  <si>
    <t>427.100000000</t>
  </si>
  <si>
    <t>- finanè.dary úèelovo viazané</t>
  </si>
  <si>
    <t>428.100000000</t>
  </si>
  <si>
    <t>- nevysporiad.výsledok hosp. minul.rokov</t>
  </si>
  <si>
    <t>Výsledok hospodárenia v schva¾ovaní</t>
  </si>
  <si>
    <t>472.100000000</t>
  </si>
  <si>
    <t>- sociálny fond - TVORBA spolu</t>
  </si>
  <si>
    <t>472.220000000</t>
  </si>
  <si>
    <t>-- èerpanie SF - príspevok na stravu</t>
  </si>
  <si>
    <t>472.230000000</t>
  </si>
  <si>
    <t>-- èerpanie SF - prísp.na regen.prac.síl</t>
  </si>
  <si>
    <t>501.110000000</t>
  </si>
  <si>
    <t>- bielizeò, odev pacienti</t>
  </si>
  <si>
    <t>501.120000000</t>
  </si>
  <si>
    <t>- zdravotnícky DHM</t>
  </si>
  <si>
    <t>501.130000000</t>
  </si>
  <si>
    <t>- ostatný DHM inde nezaradený</t>
  </si>
  <si>
    <t>501.140000000</t>
  </si>
  <si>
    <t>- knihy, èasopisy</t>
  </si>
  <si>
    <t>501.150000000</t>
  </si>
  <si>
    <t>- DHM IS, inform.technol.</t>
  </si>
  <si>
    <t>501.210000000</t>
  </si>
  <si>
    <t>- benzín</t>
  </si>
  <si>
    <t>501.220000000</t>
  </si>
  <si>
    <t>- nafta</t>
  </si>
  <si>
    <t>501.230000000</t>
  </si>
  <si>
    <t>- oleje a mazadlá</t>
  </si>
  <si>
    <t>501.310000000</t>
  </si>
  <si>
    <t>- lieky</t>
  </si>
  <si>
    <t>501.320000000</t>
  </si>
  <si>
    <t>- lieky A</t>
  </si>
  <si>
    <t>501.330000000</t>
  </si>
  <si>
    <t>- umelá výživa; dezinfekcia</t>
  </si>
  <si>
    <t>501.340000000</t>
  </si>
  <si>
    <t>- zmena stavu zásob liekov (?)</t>
  </si>
  <si>
    <t>501.350000000</t>
  </si>
  <si>
    <t>- diagnostiká</t>
  </si>
  <si>
    <t>501.360000000</t>
  </si>
  <si>
    <t>- darované lieky</t>
  </si>
  <si>
    <t>501.380000000</t>
  </si>
  <si>
    <t>- medic. plyny</t>
  </si>
  <si>
    <t>501.400000000</t>
  </si>
  <si>
    <t>Krv a krvné výrobky HÈ</t>
  </si>
  <si>
    <t>501.510000000</t>
  </si>
  <si>
    <t>- rongenový materiál</t>
  </si>
  <si>
    <t>501.520000000</t>
  </si>
  <si>
    <t>- umelé tel. náhrady TEP</t>
  </si>
  <si>
    <t>501.530000000</t>
  </si>
  <si>
    <t>- ostatný ŠZM osobitne hradený</t>
  </si>
  <si>
    <t>501.550000000</t>
  </si>
  <si>
    <t>- obväzový materiál</t>
  </si>
  <si>
    <t>501.580000000</t>
  </si>
  <si>
    <t>- šicí materiál</t>
  </si>
  <si>
    <t>501.590000000</t>
  </si>
  <si>
    <t>- ostatný ŠZM</t>
  </si>
  <si>
    <t>501.610000000</t>
  </si>
  <si>
    <t>- potraviny pre pacientov HÈ</t>
  </si>
  <si>
    <t>501.620000000</t>
  </si>
  <si>
    <t>- potr.pre darcov a ostatných</t>
  </si>
  <si>
    <t>501.630000000</t>
  </si>
  <si>
    <t>- potraviny pre vlastných zamest.</t>
  </si>
  <si>
    <t>501.711000000</t>
  </si>
  <si>
    <t>-- èistiace a dezinfekèné prostriedky</t>
  </si>
  <si>
    <t>501.712000000</t>
  </si>
  <si>
    <t>-- tlaèivá</t>
  </si>
  <si>
    <t>501.713000000</t>
  </si>
  <si>
    <t>-- ostatný všeobecný materiál</t>
  </si>
  <si>
    <t>501.714000000</t>
  </si>
  <si>
    <t>-- kancelárske potreby</t>
  </si>
  <si>
    <t>501.730000000</t>
  </si>
  <si>
    <t>- laboratórne sklo a keramika</t>
  </si>
  <si>
    <t>501.810000000</t>
  </si>
  <si>
    <t>- materiál na údržbu zdr. techniky</t>
  </si>
  <si>
    <t>501.820000000</t>
  </si>
  <si>
    <t>- ostatný údržb. materiál</t>
  </si>
  <si>
    <t>501.830000000</t>
  </si>
  <si>
    <t>- mater.na údrž.- IT, IS</t>
  </si>
  <si>
    <t>501.921000000</t>
  </si>
  <si>
    <t>-- benzín -podnikate¾ská èinnos</t>
  </si>
  <si>
    <t>501.922000000</t>
  </si>
  <si>
    <t>--- nafta PÈ</t>
  </si>
  <si>
    <t>501.923000000</t>
  </si>
  <si>
    <t>--- oleje a mazadlá PÈ</t>
  </si>
  <si>
    <t>501.971100000</t>
  </si>
  <si>
    <t>--- èistiace prostriedky</t>
  </si>
  <si>
    <t>501.971300000</t>
  </si>
  <si>
    <t>--- ostatný všeobecný materiál</t>
  </si>
  <si>
    <t>501.971400000</t>
  </si>
  <si>
    <t>--- kancelárske potreby PÈ</t>
  </si>
  <si>
    <t>501.982000000</t>
  </si>
  <si>
    <t>-- materiál na údržbu - ostatný PÈ</t>
  </si>
  <si>
    <t>501.984000000</t>
  </si>
  <si>
    <t>-- materiál na údržbu - IS,IT - PÈ</t>
  </si>
  <si>
    <t>501.993000000</t>
  </si>
  <si>
    <t>-- ostatný DHM inde nezaradený</t>
  </si>
  <si>
    <t>501.994000000</t>
  </si>
  <si>
    <t>-- knihy,hraèky,èasopisy</t>
  </si>
  <si>
    <t>501.995000000</t>
  </si>
  <si>
    <t>-- IS, inform.technol.-PÈ</t>
  </si>
  <si>
    <t>502.100000000</t>
  </si>
  <si>
    <t>502.200000000</t>
  </si>
  <si>
    <t>- voda</t>
  </si>
  <si>
    <t>502.400000000</t>
  </si>
  <si>
    <t>502.910000000</t>
  </si>
  <si>
    <t>502.920000000</t>
  </si>
  <si>
    <t>502.940000000</t>
  </si>
  <si>
    <t>511.100000000</t>
  </si>
  <si>
    <t>511.200000000</t>
  </si>
  <si>
    <t>511.300000000</t>
  </si>
  <si>
    <t>511.400000000</t>
  </si>
  <si>
    <t>511.920000000</t>
  </si>
  <si>
    <t>511.990000000</t>
  </si>
  <si>
    <t>512.100000000</t>
  </si>
  <si>
    <t>- cestovné zamestnancov - tuzemské</t>
  </si>
  <si>
    <t>512.200000000</t>
  </si>
  <si>
    <t>- cestovné zo školení</t>
  </si>
  <si>
    <t>512.900000000</t>
  </si>
  <si>
    <t>- cestovné PÈ</t>
  </si>
  <si>
    <t>513.100000000</t>
  </si>
  <si>
    <t>- náklady na reprezentáciu - HÈ</t>
  </si>
  <si>
    <t>513.900000000</t>
  </si>
  <si>
    <t>- náklady na reprezentáciu - PÈ</t>
  </si>
  <si>
    <t>518.100000000</t>
  </si>
  <si>
    <t>518.211000000</t>
  </si>
  <si>
    <t>--- nájomné Preš.zdrav.  priestory</t>
  </si>
  <si>
    <t>518.212000000</t>
  </si>
  <si>
    <t>--- nájomné Preš.zdrav.  inventár</t>
  </si>
  <si>
    <t>518.213000000</t>
  </si>
  <si>
    <t>--- nájomné Preš.zdrav.èas DPH za inven</t>
  </si>
  <si>
    <t>518.220000000</t>
  </si>
  <si>
    <t>-- ostatné nájomné</t>
  </si>
  <si>
    <t>518.300000000</t>
  </si>
  <si>
    <t>- pranie dodávate¾sky</t>
  </si>
  <si>
    <t>518.400000000</t>
  </si>
  <si>
    <t>- upratovanie dodávate¾sky</t>
  </si>
  <si>
    <t>518.500000000</t>
  </si>
  <si>
    <t>- nákl.na inform.tech.- spolu</t>
  </si>
  <si>
    <t>518.610000000</t>
  </si>
  <si>
    <t>-- telefónne popl.- pevná linka</t>
  </si>
  <si>
    <t>518.620000000</t>
  </si>
  <si>
    <t>518.640000000</t>
  </si>
  <si>
    <t>-- telefónne popl.- mobilné telefóny</t>
  </si>
  <si>
    <t>final:</t>
  </si>
  <si>
    <t>douctovat</t>
  </si>
  <si>
    <t>518.710000000</t>
  </si>
  <si>
    <t>-- poradenstvo Svet zdravia HÈ</t>
  </si>
  <si>
    <t>518.720000000</t>
  </si>
  <si>
    <t>-- audit</t>
  </si>
  <si>
    <t>518.810000000</t>
  </si>
  <si>
    <t>-- ostatné služby HÈ spolu</t>
  </si>
  <si>
    <t>518.820000000</t>
  </si>
  <si>
    <t>-- ost.sl. HÈ - konzília, ÚPS</t>
  </si>
  <si>
    <t>518.830000000</t>
  </si>
  <si>
    <t>-- ost.sl.HÈ-vývoz a zneš.odp.- spolu</t>
  </si>
  <si>
    <t>518.840000000</t>
  </si>
  <si>
    <t>-- ost.sl.HÈ - popl. na školenia,seminár</t>
  </si>
  <si>
    <t>518.850000000</t>
  </si>
  <si>
    <t>--služby zdravot.starostl. dodávate¾sky</t>
  </si>
  <si>
    <t>518.890000000</t>
  </si>
  <si>
    <t>-- ostatné .sl. HÈ - ostatné - spolu</t>
  </si>
  <si>
    <t>518.910000000</t>
  </si>
  <si>
    <t>- prepravné PÈ</t>
  </si>
  <si>
    <t>518.921100000</t>
  </si>
  <si>
    <t>--- náj.Preš.zdr.PÈ-priestory PÈ</t>
  </si>
  <si>
    <t>518.921200000</t>
  </si>
  <si>
    <t>--- náj.Preš.zdr.PÈ-inventár PÈ</t>
  </si>
  <si>
    <t>518.921300000</t>
  </si>
  <si>
    <t>--- náj.Preš.zdr.PÈ-èas DPH za inventár</t>
  </si>
  <si>
    <t>518.922000000</t>
  </si>
  <si>
    <t>-- nájom.ost. PÈ</t>
  </si>
  <si>
    <t>518.940000000</t>
  </si>
  <si>
    <t>- upratovanie dodávate¾sky PÈ</t>
  </si>
  <si>
    <t>518.950000000</t>
  </si>
  <si>
    <t>- náklady na informaèné technológie PÈ</t>
  </si>
  <si>
    <t>518.961000000</t>
  </si>
  <si>
    <t>518.962000000</t>
  </si>
  <si>
    <t>-- poštovné PÈ</t>
  </si>
  <si>
    <t>518.971000000</t>
  </si>
  <si>
    <t>-- poradenstvo Svet zdravia PÈ</t>
  </si>
  <si>
    <t>518.972000000</t>
  </si>
  <si>
    <t>-- audit,práv.sl.,porad.ostat.PÈ</t>
  </si>
  <si>
    <t>518.991000000</t>
  </si>
  <si>
    <t>-- ost.sl.PÈ - revízie</t>
  </si>
  <si>
    <t>518.993000000</t>
  </si>
  <si>
    <t>-- ost.sl.PÈ - vývoz,znešk.odpadu</t>
  </si>
  <si>
    <t>518.994000000</t>
  </si>
  <si>
    <t>-- ost.sl.PÈ - školenia, semináre</t>
  </si>
  <si>
    <t>518.999000000</t>
  </si>
  <si>
    <t>-- ost.sl.PÈ - ostatné</t>
  </si>
  <si>
    <t>521.110000000</t>
  </si>
  <si>
    <t>-- mzdy zdrav. zamestn. - lekári</t>
  </si>
  <si>
    <t>521.120000000</t>
  </si>
  <si>
    <t>-- mzdy zdrav. zamestn. - sestry a PA</t>
  </si>
  <si>
    <t>521.130000000</t>
  </si>
  <si>
    <t>-- mzdy zdrav. zamestn. - ostatní</t>
  </si>
  <si>
    <t>521.140000000</t>
  </si>
  <si>
    <t>-- mzdy administr. zamest.</t>
  </si>
  <si>
    <t>521.150000000</t>
  </si>
  <si>
    <t>-- mzdy technickí zamest.</t>
  </si>
  <si>
    <t>521.160000000</t>
  </si>
  <si>
    <t>-- odmeny na základe dohôd</t>
  </si>
  <si>
    <t>521.170000000</t>
  </si>
  <si>
    <t>-- odmeny za vzdelávanie</t>
  </si>
  <si>
    <t>521.200000000</t>
  </si>
  <si>
    <t>- rezerva na mzdy - nevyè.dov.</t>
  </si>
  <si>
    <t>521.300000000</t>
  </si>
  <si>
    <t>-- tvorba a rozpúš. rezerv na bonusy</t>
  </si>
  <si>
    <t>521.910000000</t>
  </si>
  <si>
    <t>- mzdový fond ost.pracovníkov/nezdrav./</t>
  </si>
  <si>
    <t>521.920000000</t>
  </si>
  <si>
    <t>- rezerva na mzdy PÈ - nevyè. dovolenky</t>
  </si>
  <si>
    <t>524.110000000</t>
  </si>
  <si>
    <t>--- zdrav.poist. - lekári</t>
  </si>
  <si>
    <t>524.120000000</t>
  </si>
  <si>
    <t>--- zdrav.poist. - sestry a PA</t>
  </si>
  <si>
    <t>524.130000000</t>
  </si>
  <si>
    <t>--- zdrav.poist. - ostatní zdrav.zam.</t>
  </si>
  <si>
    <t>524.140000000</t>
  </si>
  <si>
    <t>--- zdrav.poist. - administr. zamestn.</t>
  </si>
  <si>
    <t>524.150000000</t>
  </si>
  <si>
    <t>--- zdrav.poist. - technickí zamest.</t>
  </si>
  <si>
    <t>524.211100000</t>
  </si>
  <si>
    <t>--- zák.SP - lekári</t>
  </si>
  <si>
    <t>524.211200000</t>
  </si>
  <si>
    <t>--- zák.SP - sestry a PA</t>
  </si>
  <si>
    <t>524.211300000</t>
  </si>
  <si>
    <t>--- zák.SP - ostatní zdrav.zamest.</t>
  </si>
  <si>
    <t>524.211400000</t>
  </si>
  <si>
    <t>--- zák.SP - administr.zamest.</t>
  </si>
  <si>
    <t>524.211500000</t>
  </si>
  <si>
    <t>--- zák.SP - technickí zamest.</t>
  </si>
  <si>
    <t>524.211600000</t>
  </si>
  <si>
    <t>--- IP - lekári</t>
  </si>
  <si>
    <t>524.211700000</t>
  </si>
  <si>
    <t>--- IP - sestry a PA</t>
  </si>
  <si>
    <t>524.211800000</t>
  </si>
  <si>
    <t>--- IP - ostatní zdravot.zamest.</t>
  </si>
  <si>
    <t>524.211900000</t>
  </si>
  <si>
    <t>--- IP - administr. zamest.</t>
  </si>
  <si>
    <t>524.212100000</t>
  </si>
  <si>
    <t>--- IP - technickí zamest.</t>
  </si>
  <si>
    <t>524.212200000</t>
  </si>
  <si>
    <t>--- GP - lekári</t>
  </si>
  <si>
    <t>524.212300000</t>
  </si>
  <si>
    <t>--- GP - sestry a PA</t>
  </si>
  <si>
    <t>524.212400000</t>
  </si>
  <si>
    <t>--- GP - ostatní zdravot. zamest.</t>
  </si>
  <si>
    <t>524.212500000</t>
  </si>
  <si>
    <t>--- GP - administr. zamestn.</t>
  </si>
  <si>
    <t>524.212600000</t>
  </si>
  <si>
    <t>--- GP - technickí zamest.</t>
  </si>
  <si>
    <t>524.700000000</t>
  </si>
  <si>
    <t>-- rezerva na bonusy SP</t>
  </si>
  <si>
    <t>524.800000000</t>
  </si>
  <si>
    <t>-- rezerva na zák.poist.-nevyè.dovol.</t>
  </si>
  <si>
    <t>524.910000000</t>
  </si>
  <si>
    <t>-- zák.zdrav.poistenie PÈ</t>
  </si>
  <si>
    <t>524.920000000</t>
  </si>
  <si>
    <t>-- zák.sociálne poistenie PÈ</t>
  </si>
  <si>
    <t>524.990000000</t>
  </si>
  <si>
    <t>-- rezerva na zák.poist. PÈ - nevyè. dov</t>
  </si>
  <si>
    <t>525.110000000</t>
  </si>
  <si>
    <t>--- dopl.dôch.poist. za zdr.prac. HÈ</t>
  </si>
  <si>
    <t>527.110000000</t>
  </si>
  <si>
    <t>-- SF povinný prídel zdrav.zamest.</t>
  </si>
  <si>
    <t>527.120000000</t>
  </si>
  <si>
    <t>-- SF povinný prídel ost. zamest.</t>
  </si>
  <si>
    <t>527.210000000</t>
  </si>
  <si>
    <t>--- zák.soc.nákl.zdrav.prac.(PN)</t>
  </si>
  <si>
    <t>527.220000000</t>
  </si>
  <si>
    <t>--- zák.soc.nákl.ost.prac.(PN)</t>
  </si>
  <si>
    <t>527.310000000</t>
  </si>
  <si>
    <t>--- odstupné zdrav.prac.</t>
  </si>
  <si>
    <t>527.320000000</t>
  </si>
  <si>
    <t>--- odstupné nezdrav. prac.</t>
  </si>
  <si>
    <t>527.410000000</t>
  </si>
  <si>
    <t>--- odchodné zdrav. prac.</t>
  </si>
  <si>
    <t>527.420000000</t>
  </si>
  <si>
    <t>--- odchodné nezdrav. prac.</t>
  </si>
  <si>
    <t>527.500000000</t>
  </si>
  <si>
    <t>- prísp.zamestn.na stravu (55%)</t>
  </si>
  <si>
    <t>527.710000000</t>
  </si>
  <si>
    <t>--- OOPP  zdrav.zamestnanci</t>
  </si>
  <si>
    <t>527.720000000</t>
  </si>
  <si>
    <t>--- OOPP  nezdrav.zamestnanci</t>
  </si>
  <si>
    <t>527.800000000</t>
  </si>
  <si>
    <t>- BOZP</t>
  </si>
  <si>
    <t>527.910000000</t>
  </si>
  <si>
    <t>-- zákonné soc.náklady (10 dní PN) - PÈ</t>
  </si>
  <si>
    <t>527.920000000</t>
  </si>
  <si>
    <t>-- prídel do SF za PÈ</t>
  </si>
  <si>
    <t>527.930000000</t>
  </si>
  <si>
    <t>-- odstupné - PÈ</t>
  </si>
  <si>
    <t>527.940000000</t>
  </si>
  <si>
    <t>-- odchodné - PÈ</t>
  </si>
  <si>
    <t>527.950000000</t>
  </si>
  <si>
    <t>-- OOPP nezdrav.zamest. PÈ</t>
  </si>
  <si>
    <t>528.100000000</t>
  </si>
  <si>
    <t>- príspevok na stravov. nad rámec zákona</t>
  </si>
  <si>
    <t>538.100000000</t>
  </si>
  <si>
    <t>- správne poplatky</t>
  </si>
  <si>
    <t>538.200000000</t>
  </si>
  <si>
    <t>- miestne poplatky</t>
  </si>
  <si>
    <t>538.300000000</t>
  </si>
  <si>
    <t>- kolky, dia¾nièné známky</t>
  </si>
  <si>
    <t>538.920000000</t>
  </si>
  <si>
    <t>-- poplatky PÈ</t>
  </si>
  <si>
    <t>541.100000000</t>
  </si>
  <si>
    <t>- zmluv.pokuty a penále od zdrav.pois.</t>
  </si>
  <si>
    <t>542.100000000</t>
  </si>
  <si>
    <t>- ost.pokuty a pen. od DÚ</t>
  </si>
  <si>
    <t>542.200000000</t>
  </si>
  <si>
    <t>- ost.pokuty a pen. od ÚDZS</t>
  </si>
  <si>
    <t>544.100000000</t>
  </si>
  <si>
    <t>- úroky -  hlavná èinnos</t>
  </si>
  <si>
    <t>545.100000000</t>
  </si>
  <si>
    <t>- kurzové straty</t>
  </si>
  <si>
    <t>548.100000000</t>
  </si>
  <si>
    <t>- manká na liekoch a ŠZM</t>
  </si>
  <si>
    <t>548.500000000</t>
  </si>
  <si>
    <t>- škody ostatné nezavinené</t>
  </si>
  <si>
    <t>549.200000000</t>
  </si>
  <si>
    <t>- poistné HÈ spolu</t>
  </si>
  <si>
    <t>549.300000000</t>
  </si>
  <si>
    <t>- odmeny a cestovné darcov krvi</t>
  </si>
  <si>
    <t>549.400000000</t>
  </si>
  <si>
    <t>- ost.výpl.FO - tvorba rezerv súd.spory</t>
  </si>
  <si>
    <t>549.500000000</t>
  </si>
  <si>
    <t>- bankové poplatky HÈ</t>
  </si>
  <si>
    <t>549.600000000</t>
  </si>
  <si>
    <t>- príspevky z nepov.èlenstva</t>
  </si>
  <si>
    <t>549.700000000</t>
  </si>
  <si>
    <t>- centové vyrovnanie</t>
  </si>
  <si>
    <t>549.800000000</t>
  </si>
  <si>
    <t>- ostatné finanèné náklady</t>
  </si>
  <si>
    <t>549.920000000</t>
  </si>
  <si>
    <t>-- poistné PÈ</t>
  </si>
  <si>
    <t>549.990000000</t>
  </si>
  <si>
    <t>-- ostatné finanèné náklady</t>
  </si>
  <si>
    <t>551.110000000</t>
  </si>
  <si>
    <t>-- úèt.odp.softw.pre zdr.úè.</t>
  </si>
  <si>
    <t>551.210000000</t>
  </si>
  <si>
    <t>-- úèt.odp.k zdrav.pristr.</t>
  </si>
  <si>
    <t>551.220000000</t>
  </si>
  <si>
    <t>-- úèt.odp.k výpoèt.technike</t>
  </si>
  <si>
    <t>551.230000000</t>
  </si>
  <si>
    <t>-- úèt.odp.ku kancel.technike</t>
  </si>
  <si>
    <t>551.240000000</t>
  </si>
  <si>
    <t>-- úèt.odp. k ost.stroj. a prístr.</t>
  </si>
  <si>
    <t>551.250000000</t>
  </si>
  <si>
    <t>-- úèt.odp.k dopr.prostr.sanitným</t>
  </si>
  <si>
    <t>551.280000000</t>
  </si>
  <si>
    <t>-- úèt.odp.k drobnému dlhod.HM</t>
  </si>
  <si>
    <t>551.920000000</t>
  </si>
  <si>
    <t>- odpisy DHM</t>
  </si>
  <si>
    <t>552.100000000</t>
  </si>
  <si>
    <t>- ZC predaného DNM</t>
  </si>
  <si>
    <t>552.200000000</t>
  </si>
  <si>
    <t>- ZC predaného DHM</t>
  </si>
  <si>
    <t>554.100000000</t>
  </si>
  <si>
    <t>- predaná krv a krvn.der.</t>
  </si>
  <si>
    <t>554.200000000</t>
  </si>
  <si>
    <t>- predané lieky</t>
  </si>
  <si>
    <t>554.300000000</t>
  </si>
  <si>
    <t>- ostatný predaný materiál</t>
  </si>
  <si>
    <t>558.100000000</t>
  </si>
  <si>
    <t>- tvorba a zúèt.oprav.pol. k poh¾adávkam</t>
  </si>
  <si>
    <t>558.910000000</t>
  </si>
  <si>
    <t>-- tvorba a zúèt.opr.pol.PÈ   nedaòové</t>
  </si>
  <si>
    <t>558.920000000</t>
  </si>
  <si>
    <t>-- tvorba a zúèt.opr.pol.PÈ   daòové</t>
  </si>
  <si>
    <t>591.200000000</t>
  </si>
  <si>
    <t>- Daò z príjm. PO- splat.zrážk.</t>
  </si>
  <si>
    <t>602.110000000</t>
  </si>
  <si>
    <t>- za stravovanie zamestnancov</t>
  </si>
  <si>
    <t>602.190000000</t>
  </si>
  <si>
    <t>- ostatné tržby z prevádzky HÈ</t>
  </si>
  <si>
    <t>602.211000000</t>
  </si>
  <si>
    <t>-- za interupciu, sterilizáciu</t>
  </si>
  <si>
    <t>602.212000000</t>
  </si>
  <si>
    <t>-- za lieèenie cudzincov, samoplatcov</t>
  </si>
  <si>
    <t>602.213000000</t>
  </si>
  <si>
    <t>-- za externé zdrav. služby</t>
  </si>
  <si>
    <t>602.214000000</t>
  </si>
  <si>
    <t>-- ÚPS (zák. popl. za SPZS)</t>
  </si>
  <si>
    <t>602.215000000</t>
  </si>
  <si>
    <t>-- nadštandardné izby</t>
  </si>
  <si>
    <t>602.216000000</t>
  </si>
  <si>
    <t>-- PEDA, otec pri pôrode</t>
  </si>
  <si>
    <t>602.217000000</t>
  </si>
  <si>
    <t>-- doprovody  (+ubytovanie, strava)</t>
  </si>
  <si>
    <t>602.218000000</t>
  </si>
  <si>
    <t>-- administrat.popl.; potvrdenia</t>
  </si>
  <si>
    <t>602.219000000</t>
  </si>
  <si>
    <t>-- prednostné ošetrenia</t>
  </si>
  <si>
    <t>602.220000000</t>
  </si>
  <si>
    <t>- výber operatéra, lekára</t>
  </si>
  <si>
    <t>602.301010100</t>
  </si>
  <si>
    <t>-- VšZP za UH</t>
  </si>
  <si>
    <t>602.301010200</t>
  </si>
  <si>
    <t>-- VšZP za OHV</t>
  </si>
  <si>
    <t>602.301010500</t>
  </si>
  <si>
    <t>-- VšZP za stacionár</t>
  </si>
  <si>
    <t>602.301020000</t>
  </si>
  <si>
    <t>-- VšZP za poist. EÚ</t>
  </si>
  <si>
    <t>602.301030100</t>
  </si>
  <si>
    <t>-- VšZP za výkony ŠAS</t>
  </si>
  <si>
    <t>602.301030200</t>
  </si>
  <si>
    <t>-- VšZP za výkony SVLZ</t>
  </si>
  <si>
    <t>602.301030300</t>
  </si>
  <si>
    <t>-- VšZP za JZS</t>
  </si>
  <si>
    <t>602.301040000</t>
  </si>
  <si>
    <t>-- VšZP za kapitáciu</t>
  </si>
  <si>
    <t>602.301050100</t>
  </si>
  <si>
    <t>-- VšZP za lieky</t>
  </si>
  <si>
    <t>602.301050200</t>
  </si>
  <si>
    <t>-- VšZP za krv</t>
  </si>
  <si>
    <t>602.301050300</t>
  </si>
  <si>
    <t>-- VšZP za MFNZS a ost.</t>
  </si>
  <si>
    <t>602.301060000</t>
  </si>
  <si>
    <t>-- VšZP za ŠZM</t>
  </si>
  <si>
    <t>602.301080000</t>
  </si>
  <si>
    <t>-- VšZP za LSPP paušál</t>
  </si>
  <si>
    <t>602.301090000</t>
  </si>
  <si>
    <t>-- VšZP za ostatné výkony-minulé roky</t>
  </si>
  <si>
    <t>602.305010100</t>
  </si>
  <si>
    <t>-- ZP Dôvera za UH</t>
  </si>
  <si>
    <t>602.305010200</t>
  </si>
  <si>
    <t>-- ZP Dôvera za OHV</t>
  </si>
  <si>
    <t>602.305010300</t>
  </si>
  <si>
    <t>-- ZP Dôvera za stacionár</t>
  </si>
  <si>
    <t>602.305020000</t>
  </si>
  <si>
    <t>-- ZP Dôvera za poist. EÚ</t>
  </si>
  <si>
    <t>602.305030100</t>
  </si>
  <si>
    <t>-- ZP Dôvera za výkony ŠAS</t>
  </si>
  <si>
    <t>602.305030200</t>
  </si>
  <si>
    <t>-- ZP Dôvera za výkony SVLZ</t>
  </si>
  <si>
    <t>602.305030300</t>
  </si>
  <si>
    <t>-- ZP Dôvera za JZS</t>
  </si>
  <si>
    <t>602.305040000</t>
  </si>
  <si>
    <t>-- ZP Dôvera za kapitáciu</t>
  </si>
  <si>
    <t>602.305050100</t>
  </si>
  <si>
    <t>-- ZP Dôvera za lieky</t>
  </si>
  <si>
    <t>602.305050200</t>
  </si>
  <si>
    <t>-- ZP Dôvera za krv</t>
  </si>
  <si>
    <t>602.305060000</t>
  </si>
  <si>
    <t>-- ZP Dôvera za ŠZM</t>
  </si>
  <si>
    <t>602.305070000</t>
  </si>
  <si>
    <t>-- ZP Dôvera za LSPP - kilometre</t>
  </si>
  <si>
    <t>602.305080000</t>
  </si>
  <si>
    <t>-- ZP Dôvera za LSPP - paušál</t>
  </si>
  <si>
    <t>602.305090000</t>
  </si>
  <si>
    <t>-- ZP Dôvera za ost. výkony-minulé roky</t>
  </si>
  <si>
    <t>602.308010100</t>
  </si>
  <si>
    <t>-- ZP Union za UH</t>
  </si>
  <si>
    <t>602.308010200</t>
  </si>
  <si>
    <t>-- ZP Union za OHV</t>
  </si>
  <si>
    <t>602.308010500</t>
  </si>
  <si>
    <t>-- ZP Union za stacionár</t>
  </si>
  <si>
    <t>602.308020000</t>
  </si>
  <si>
    <t>-- ZP Union za poist EÚ</t>
  </si>
  <si>
    <t>602.308030100</t>
  </si>
  <si>
    <t>-- ZP Union za výkony ŠAS</t>
  </si>
  <si>
    <t>602.308030200</t>
  </si>
  <si>
    <t>-- ZP Union za výkony SVLZ</t>
  </si>
  <si>
    <t>602.308030300</t>
  </si>
  <si>
    <t>-- ZP Union za JZS</t>
  </si>
  <si>
    <t>602.308040000</t>
  </si>
  <si>
    <t>-- ZP Union za kapitáciu</t>
  </si>
  <si>
    <t>602.308050100</t>
  </si>
  <si>
    <t>-- ZP Union za lieky</t>
  </si>
  <si>
    <t>602.308050200</t>
  </si>
  <si>
    <t>-- ZP Union za krv</t>
  </si>
  <si>
    <t>602.308050300</t>
  </si>
  <si>
    <t>-- ZP Union za MFNZS a ost.</t>
  </si>
  <si>
    <t>602.308060000</t>
  </si>
  <si>
    <t>-- ZP Union za ŠZM</t>
  </si>
  <si>
    <t>602.308080000</t>
  </si>
  <si>
    <t>-- ZP Union za LSPP - paušál</t>
  </si>
  <si>
    <t>602.308090000</t>
  </si>
  <si>
    <t>-- ZP Union za ost. výkony-minulé roky</t>
  </si>
  <si>
    <t>602.911100000</t>
  </si>
  <si>
    <t>- za stravovanie PÈ</t>
  </si>
  <si>
    <t>602.912100000</t>
  </si>
  <si>
    <t>- za telefón PÈ</t>
  </si>
  <si>
    <t>602.913100000</t>
  </si>
  <si>
    <t>- za pranie PÈ</t>
  </si>
  <si>
    <t>602.914110000</t>
  </si>
  <si>
    <t>-- za podnájom PÈ-obratové náj. laborat.</t>
  </si>
  <si>
    <t>602.914120000</t>
  </si>
  <si>
    <t>-- za podnájom PÈ - ostatné</t>
  </si>
  <si>
    <t>602.914130000</t>
  </si>
  <si>
    <t>-- za podnájom inventáru PÈ</t>
  </si>
  <si>
    <t>602.915100000</t>
  </si>
  <si>
    <t>- za ostatné služby z podnik.èin.</t>
  </si>
  <si>
    <t>602.919110000</t>
  </si>
  <si>
    <t>-- za kúrenie PÈ</t>
  </si>
  <si>
    <t>602.919210000</t>
  </si>
  <si>
    <t>-- za vodné, stoèné PÈ</t>
  </si>
  <si>
    <t>602.919310000</t>
  </si>
  <si>
    <t>-- za elektrickú energiu PÈ</t>
  </si>
  <si>
    <t>602.919410000</t>
  </si>
  <si>
    <t>-- za plyn PÈ</t>
  </si>
  <si>
    <t>602.924000000</t>
  </si>
  <si>
    <t>- tržby z parkovného</t>
  </si>
  <si>
    <t>621.100000000</t>
  </si>
  <si>
    <t>- Aktivácia krvi a krvných deriv.</t>
  </si>
  <si>
    <t>644.100000000</t>
  </si>
  <si>
    <t>Úroky - hlavná èinnos</t>
  </si>
  <si>
    <t>645.100000000</t>
  </si>
  <si>
    <t>- kurzové zisky</t>
  </si>
  <si>
    <t>646.100000000</t>
  </si>
  <si>
    <t>- dary nepeòažné - lieky</t>
  </si>
  <si>
    <t>646.200000000</t>
  </si>
  <si>
    <t>- dary nepeòažné - ostatné</t>
  </si>
  <si>
    <t>649.110000000</t>
  </si>
  <si>
    <t>- refundácie miezd HÈ - hosp.mobiliz.</t>
  </si>
  <si>
    <t>649.120000000</t>
  </si>
  <si>
    <t>- nárok za manká a škody</t>
  </si>
  <si>
    <t>649.130000000</t>
  </si>
  <si>
    <t>- zberné suroviny</t>
  </si>
  <si>
    <t>649.140000000</t>
  </si>
  <si>
    <t>- ostatné výnosy HÈ</t>
  </si>
  <si>
    <t>649.160000000</t>
  </si>
  <si>
    <t>- odpustenie záväzku</t>
  </si>
  <si>
    <t>649.910000000</t>
  </si>
  <si>
    <t>- ostat výnosy z podnikat.èinnosti</t>
  </si>
  <si>
    <t>651.100000000</t>
  </si>
  <si>
    <t>Tržby z predaja DNM a DHM - hlavná èinn.</t>
  </si>
  <si>
    <t>654.100000000</t>
  </si>
  <si>
    <t>Tržby z predaja krvi a krv.deriv.</t>
  </si>
  <si>
    <t>654.200000000</t>
  </si>
  <si>
    <t>Tržby z pred.ostat.mater.HÈ-liekov 2014</t>
  </si>
  <si>
    <t>654.900000000</t>
  </si>
  <si>
    <t xml:space="preserve">Tržby z predaja materiálu - podn.èinn.  </t>
  </si>
  <si>
    <t>656.100000000</t>
  </si>
  <si>
    <t>Výnosy z použ.ost.fondov-z finanè.darov</t>
  </si>
  <si>
    <t>665.100000000</t>
  </si>
  <si>
    <t>- príspevky z podielu zaplatenej dane</t>
  </si>
  <si>
    <t>691.110000000</t>
  </si>
  <si>
    <t>- dotácia na bežnú prevádzku</t>
  </si>
  <si>
    <t>691.120000000</t>
  </si>
  <si>
    <t>- dotácia na vzdelávanie</t>
  </si>
  <si>
    <t>n/a -&gt; cash pooling
- reclass na zavazok</t>
  </si>
  <si>
    <t>Nemocnica A. Leòa Humenné, n.o.</t>
  </si>
  <si>
    <t>Odberate¾ské faktúry neuhradené do 12-2014 pod¾a IÈO</t>
  </si>
  <si>
    <t>Int.èíslo</t>
  </si>
  <si>
    <t>Text - poznámka</t>
  </si>
  <si>
    <t>Vystavená</t>
  </si>
  <si>
    <t>Splatná</t>
  </si>
  <si>
    <t>Obdobie</t>
  </si>
  <si>
    <t>Do lehoty</t>
  </si>
  <si>
    <t>Po lehote</t>
  </si>
  <si>
    <t>IÈO: 35942479; Firma: Dôvera  zdravotná poisovòa, a.s., P.O.BOX 20 A, 949 01 Nitra 1</t>
  </si>
  <si>
    <t>Výkony ZP-protokol è.14770179</t>
  </si>
  <si>
    <t>30-12-2014</t>
  </si>
  <si>
    <t>09-01-2015</t>
  </si>
  <si>
    <t>Výkony ZP</t>
  </si>
  <si>
    <t>13-01-2015</t>
  </si>
  <si>
    <t>Výkony ZP- protokol 14770223</t>
  </si>
  <si>
    <t>23-01-2015</t>
  </si>
  <si>
    <t>IÈO: 36213136; Firma: RABAKA reklamné panely, s.r.o, Dunajská 3, 040 01 Košice</t>
  </si>
  <si>
    <t>08-07-2014</t>
  </si>
  <si>
    <t>22-07-2014</t>
  </si>
  <si>
    <t>06-2014</t>
  </si>
  <si>
    <t>IÈO: 36284831; Firma: UNION zdravotná poisovòa, a.s., Bajkalská 29/A, 821 08 Bratislava</t>
  </si>
  <si>
    <t>Výkony ZP-doúèt.07/13</t>
  </si>
  <si>
    <t>Výkony ZP-doúètov. k 05/2012</t>
  </si>
  <si>
    <t>Výkony ZP-protokol è.2014101036</t>
  </si>
  <si>
    <t>Výkony ZP-protokol è.2014101034</t>
  </si>
  <si>
    <t>IÈO: 36473685; Firma: Imuna Pharm, a.s., Jarková 269/17, 082 22 Šarišské Micha¾any</t>
  </si>
  <si>
    <t>Predaj krvi  06/14</t>
  </si>
  <si>
    <t>04-07-2014</t>
  </si>
  <si>
    <t>18-07-2014</t>
  </si>
  <si>
    <t>IÈO: 44560605; Firma: MEDITERRAN s.r.o, Alžbetina 24,, 040 01 Košice</t>
  </si>
  <si>
    <t>Telefóny</t>
  </si>
  <si>
    <t>10-07-2014</t>
  </si>
  <si>
    <t>24-07-2014</t>
  </si>
  <si>
    <t>IÈO: 44725051; Firma: Kvìta Antoòáková, Tøebièská 1834/7, 066 01 Humenné</t>
  </si>
  <si>
    <t>Predaj neupotreb.maj.</t>
  </si>
  <si>
    <t>16-04-2014</t>
  </si>
  <si>
    <t>30-04-2014</t>
  </si>
  <si>
    <t>04-2014</t>
  </si>
  <si>
    <t>Energia</t>
  </si>
  <si>
    <t>30-06-2014</t>
  </si>
  <si>
    <t>14-07-2014</t>
  </si>
  <si>
    <t>IÈO: 45408513; Firma: RBF factoring s.r.o, Námestie Slobody  12, 066 01 Humenné</t>
  </si>
  <si>
    <t>31-03-2012</t>
  </si>
  <si>
    <t>14-04-2012</t>
  </si>
  <si>
    <t>03-2012</t>
  </si>
  <si>
    <t>09-08-2012</t>
  </si>
  <si>
    <t>23-08-2012</t>
  </si>
  <si>
    <t>07-2012</t>
  </si>
  <si>
    <t>02-10-2012</t>
  </si>
  <si>
    <t>16-10-2012</t>
  </si>
  <si>
    <t>09-2012</t>
  </si>
  <si>
    <t>31-10-2012</t>
  </si>
  <si>
    <t>14-11-2012</t>
  </si>
  <si>
    <t>10-2012</t>
  </si>
  <si>
    <t>03-12-2012</t>
  </si>
  <si>
    <t>17-12-2012</t>
  </si>
  <si>
    <t>11-2012</t>
  </si>
  <si>
    <t>31-12-2012</t>
  </si>
  <si>
    <t>14-01-2013</t>
  </si>
  <si>
    <t>12-2012</t>
  </si>
  <si>
    <t>07-02-2013</t>
  </si>
  <si>
    <t>21-02-2013</t>
  </si>
  <si>
    <t>01-2013</t>
  </si>
  <si>
    <t>05-03-2013</t>
  </si>
  <si>
    <t>19-03-2013</t>
  </si>
  <si>
    <t>02-2013</t>
  </si>
  <si>
    <t>IÈO: 45585711; Firma: Bc. Pavol Drenèák, Fibichova  1, 040 01 Košice</t>
  </si>
  <si>
    <t>Sl. nevýr.pov.</t>
  </si>
  <si>
    <t>07-05-2013</t>
  </si>
  <si>
    <t>21-05-2013</t>
  </si>
  <si>
    <t>04-2013</t>
  </si>
  <si>
    <t>IÈO: 47249048; Firma: Nemocnica A. Leòa Humenné, a. s., Nemocnièná 7, 066 01 Humenné</t>
  </si>
  <si>
    <t>Refakturácia poistného áut</t>
  </si>
  <si>
    <t>07-01-2015</t>
  </si>
  <si>
    <t>21-01-2015</t>
  </si>
  <si>
    <t>Refakturácia - telefóny</t>
  </si>
  <si>
    <t>12-01-2015</t>
  </si>
  <si>
    <t>26-01-2015</t>
  </si>
  <si>
    <t>IÈO: 606707; Firma: Univerzitná nemocnica L. Pasteura Košice, Rastislavova 43, 041 91 Košice</t>
  </si>
  <si>
    <t>Predaj krvi  02/14</t>
  </si>
  <si>
    <t>06-03-2014</t>
  </si>
  <si>
    <t>20-03-2014</t>
  </si>
  <si>
    <t>02-2014</t>
  </si>
  <si>
    <t>Predaj krvi  03/14</t>
  </si>
  <si>
    <t>04-04-2014</t>
  </si>
  <si>
    <t>18-04-2014</t>
  </si>
  <si>
    <t>03-2014</t>
  </si>
  <si>
    <t>Neuhradené spolu</t>
  </si>
  <si>
    <t>účet 311</t>
  </si>
  <si>
    <t>účet 315</t>
  </si>
  <si>
    <t>suma</t>
  </si>
  <si>
    <t>splatnost</t>
  </si>
  <si>
    <t>He no k 31.12.2014 uz neeviduje nic na podsuvahe.</t>
  </si>
  <si>
    <t>Obrat do 01-2014</t>
  </si>
  <si>
    <t>SUMA - VC</t>
  </si>
  <si>
    <t>501.900000000</t>
  </si>
  <si>
    <t>Spotreba materiálu - podnikate¾ská èinn.</t>
  </si>
  <si>
    <t>502.900000000</t>
  </si>
  <si>
    <t xml:space="preserve">Spotreba energie - podnik.èinnos       </t>
  </si>
  <si>
    <t>511.900000000</t>
  </si>
  <si>
    <t>Opravy a udržiavanie PÈ spolu</t>
  </si>
  <si>
    <t>- cestovné pod.èinnos-aj 2014</t>
  </si>
  <si>
    <t>Náklady na reprezentáciu-pod.èinn.</t>
  </si>
  <si>
    <t>518.900000000</t>
  </si>
  <si>
    <t>Ostatné služby - podnikate¾ská èinnos</t>
  </si>
  <si>
    <t>521.900000000</t>
  </si>
  <si>
    <t xml:space="preserve">Mzdy - podnik.èinnos                   </t>
  </si>
  <si>
    <t>524.900000000</t>
  </si>
  <si>
    <t>- Zák.soc.a zdrav.poist. PÈ (zamestnáv.)</t>
  </si>
  <si>
    <t>527.900000000</t>
  </si>
  <si>
    <t>- Zákonné soc. náklady PÈ</t>
  </si>
  <si>
    <t>538.900000000</t>
  </si>
  <si>
    <t>- ostatné dane a poplatky - PÈ</t>
  </si>
  <si>
    <t>- Ostatné dane a poplatky - PÈ</t>
  </si>
  <si>
    <t>549.900000000</t>
  </si>
  <si>
    <t>- iné ostatné náklady - PÈ</t>
  </si>
  <si>
    <t>- Iné ostatné náklady - PÈ</t>
  </si>
  <si>
    <t>551.900000000</t>
  </si>
  <si>
    <t>Odpisy DNM a DHM -podnik.èinnos</t>
  </si>
  <si>
    <t xml:space="preserve">Odpisy DNM a DHM -podnik.èinnos        </t>
  </si>
  <si>
    <t xml:space="preserve">Zostatková cena predaného DNM a DHM     </t>
  </si>
  <si>
    <t>suvisi s transformaciou na as</t>
  </si>
  <si>
    <t>558.900000000</t>
  </si>
  <si>
    <t>- tvorba a zúèt.opravn.pol. PÈ spolu</t>
  </si>
  <si>
    <t>- tvorba a zúèt.opravn.pol.PÈ spolu</t>
  </si>
  <si>
    <t>602.900000000</t>
  </si>
  <si>
    <t xml:space="preserve">Tržby z prevádzky-podnik.èinnos        </t>
  </si>
  <si>
    <t>Prijaté dary spolu</t>
  </si>
  <si>
    <t>649.900000000</t>
  </si>
  <si>
    <t>Iné ostatné výnosy - podnikate¾ská èinn.</t>
  </si>
  <si>
    <t xml:space="preserve">Tržby z predaja DNM a DHM               </t>
  </si>
  <si>
    <t xml:space="preserve">Tržby z predaja materiálu spolu         </t>
  </si>
  <si>
    <t>strata</t>
  </si>
  <si>
    <t>n/a -&gt; rezerva na bonusy</t>
  </si>
  <si>
    <t>reklas na zavazky</t>
  </si>
  <si>
    <t>reklas záporného zostatku voci UNION na záv.</t>
  </si>
  <si>
    <t>Vplyv transformácie (úbytok)</t>
  </si>
  <si>
    <t>HK 551</t>
  </si>
  <si>
    <t>HK 552</t>
  </si>
  <si>
    <t>CHECK</t>
  </si>
  <si>
    <t>vytvorena OP</t>
  </si>
  <si>
    <t>tuzemski</t>
  </si>
  <si>
    <t>HK z 31.3.2015</t>
  </si>
  <si>
    <t>dobropis pre HE as z dovodu upravy ceny aktivacie plazmy</t>
  </si>
  <si>
    <t xml:space="preserve"> </t>
  </si>
  <si>
    <t xml:space="preserve">Účtovný zisk </t>
  </si>
  <si>
    <t>Rozdelenie účtovného zisku</t>
  </si>
  <si>
    <t>Prídel do štatutárnych a ostatných fondov</t>
  </si>
  <si>
    <t>Prídel do sociálneho fondu</t>
  </si>
  <si>
    <t>Prídel na zvýšenie základného imania</t>
  </si>
  <si>
    <t>Rozdelenie podielu na zisku spoločníkom, členom</t>
  </si>
  <si>
    <t xml:space="preserve">Iné </t>
  </si>
  <si>
    <t>Prídel do rezervného fondu</t>
  </si>
  <si>
    <t>Prevod do nevysporiadaného výsledku hospodárenia minulých rokov</t>
  </si>
  <si>
    <t>Vysporiadanie HV 2013:</t>
  </si>
  <si>
    <t>n/a</t>
  </si>
  <si>
    <t>Rezerva na súdne spory</t>
  </si>
  <si>
    <t>Vplyv transformácie</t>
  </si>
  <si>
    <t>Nemocnica A. Leňa Humenné, n.o.</t>
  </si>
  <si>
    <t>Dodávateľské faktúry neuhradené do 12-2014 podľa IČO</t>
  </si>
  <si>
    <t>Int.číslo</t>
  </si>
  <si>
    <t>Číslo FA</t>
  </si>
  <si>
    <t>SPOLU</t>
  </si>
  <si>
    <t>IČO: ; Firma: MEDIMETÁL KFT, Berva-volgy, 3304 Eger</t>
  </si>
  <si>
    <t>Dlhodobý  HM a NM</t>
  </si>
  <si>
    <t>14-02-2014</t>
  </si>
  <si>
    <t>10-04-2015</t>
  </si>
  <si>
    <t>09-02-2015</t>
  </si>
  <si>
    <t>09-07-2015</t>
  </si>
  <si>
    <t>IČO: 00323179; Firma: Obecný úrad, Koškovce, 067 12 Koškovce</t>
  </si>
  <si>
    <t>02-12-2014</t>
  </si>
  <si>
    <t>16-12-2014</t>
  </si>
  <si>
    <t>IČO: 31345182; Firma: Johnson&amp;Johnson, s.r.o., Karadžičova 12, 821 08 Bratislava</t>
  </si>
  <si>
    <t>ŠZM-T</t>
  </si>
  <si>
    <t>02-08-2012</t>
  </si>
  <si>
    <t>25-01-2015</t>
  </si>
  <si>
    <t>08-2012</t>
  </si>
  <si>
    <t>25-02-2015</t>
  </si>
  <si>
    <t>07-08-2012</t>
  </si>
  <si>
    <t>ŠZM</t>
  </si>
  <si>
    <t>10-08-2012</t>
  </si>
  <si>
    <t>20-08-2012</t>
  </si>
  <si>
    <t>24-08-2012</t>
  </si>
  <si>
    <t>25-03-2015</t>
  </si>
  <si>
    <t>25-04-2015</t>
  </si>
  <si>
    <t>27-08-2012</t>
  </si>
  <si>
    <t>25-05-2015</t>
  </si>
  <si>
    <t>28-08-2012</t>
  </si>
  <si>
    <t>25-06-2015</t>
  </si>
  <si>
    <t>30-08-2012</t>
  </si>
  <si>
    <t>31-08-2012</t>
  </si>
  <si>
    <t>25-07-2015</t>
  </si>
  <si>
    <t>06-09-2012</t>
  </si>
  <si>
    <t>25-08-2015</t>
  </si>
  <si>
    <t>07-09-2012</t>
  </si>
  <si>
    <t>05-09-2012</t>
  </si>
  <si>
    <t>IČO: 31702813; Firma: MARVELS, s.r.o., Bardejovská 42, 080 06 Ľubotice - Prešov</t>
  </si>
  <si>
    <t>Udržbársky materiál</t>
  </si>
  <si>
    <t>10-12-2013</t>
  </si>
  <si>
    <t>09-01-2014</t>
  </si>
  <si>
    <t>12-2013</t>
  </si>
  <si>
    <t>IČO: 35534885; Firma: MUDr. Ľubica  Babejová, I. mája  2045, 06601 Humenné</t>
  </si>
  <si>
    <t>Sl. nevýr.pov.-dobropis k fa 201466</t>
  </si>
  <si>
    <t>30-09-2014</t>
  </si>
  <si>
    <t>14-10-2014</t>
  </si>
  <si>
    <t>09-2014</t>
  </si>
  <si>
    <t>IČO: 35763469; Firma: Slovak Telekom, a.s., Bajkalská 28, 817 62 Bratislava</t>
  </si>
  <si>
    <t>03-01-2015</t>
  </si>
  <si>
    <t>19-01-2015</t>
  </si>
  <si>
    <t>IČO: 36367303; Firma: PHOENIX-pristúpenie VFSol.-post. Estate Consult, Prešovská cesta 4, 040 11 Košice</t>
  </si>
  <si>
    <t>01-12-2008</t>
  </si>
  <si>
    <t>31-03-2009</t>
  </si>
  <si>
    <t>12-2008</t>
  </si>
  <si>
    <t>04-12-2008</t>
  </si>
  <si>
    <t>03-04-2009</t>
  </si>
  <si>
    <t>05-12-2008</t>
  </si>
  <si>
    <t>04-04-2009</t>
  </si>
  <si>
    <t>08-12-2008</t>
  </si>
  <si>
    <t>07-04-2009</t>
  </si>
  <si>
    <t>11-12-2008</t>
  </si>
  <si>
    <t>10-04-2009</t>
  </si>
  <si>
    <t>12-12-2008</t>
  </si>
  <si>
    <t>11-04-2009</t>
  </si>
  <si>
    <t>09-12-2008</t>
  </si>
  <si>
    <t>08-04-2009</t>
  </si>
  <si>
    <t>08-01-2009</t>
  </si>
  <si>
    <t>11-2008</t>
  </si>
  <si>
    <t>15-12-2008</t>
  </si>
  <si>
    <t>14-04-2009</t>
  </si>
  <si>
    <t>04-03-2009</t>
  </si>
  <si>
    <t>17-12-2008</t>
  </si>
  <si>
    <t>16-04-2009</t>
  </si>
  <si>
    <t>18-12-2008</t>
  </si>
  <si>
    <t>17-04-2009</t>
  </si>
  <si>
    <t>23-12-2008</t>
  </si>
  <si>
    <t>23-03-2009</t>
  </si>
  <si>
    <t>22-04-2009</t>
  </si>
  <si>
    <t>22-12-2008</t>
  </si>
  <si>
    <t>22-03-2009</t>
  </si>
  <si>
    <t>21-04-2009</t>
  </si>
  <si>
    <t>19-12-2008</t>
  </si>
  <si>
    <t>18-04-2009</t>
  </si>
  <si>
    <t>19-03-2009</t>
  </si>
  <si>
    <t>18-03-2009</t>
  </si>
  <si>
    <t>16-12-2008</t>
  </si>
  <si>
    <t>15-04-2009</t>
  </si>
  <si>
    <t>01-2009</t>
  </si>
  <si>
    <t>09-01-2009</t>
  </si>
  <si>
    <t>09-05-2009</t>
  </si>
  <si>
    <t>08-05-2009</t>
  </si>
  <si>
    <t>07-01-2009</t>
  </si>
  <si>
    <t>07-05-2009</t>
  </si>
  <si>
    <t>14-01-2009</t>
  </si>
  <si>
    <t>14-05-2009</t>
  </si>
  <si>
    <t>15-01-2009</t>
  </si>
  <si>
    <t>15-05-2009</t>
  </si>
  <si>
    <t>09-04-2009</t>
  </si>
  <si>
    <t>12-01-2009</t>
  </si>
  <si>
    <t>12-04-2009</t>
  </si>
  <si>
    <t>13-01-2009</t>
  </si>
  <si>
    <t>13-05-2009</t>
  </si>
  <si>
    <t>19-01-2009</t>
  </si>
  <si>
    <t>19-04-2009</t>
  </si>
  <si>
    <t>19-05-2009</t>
  </si>
  <si>
    <t>16-01-2009</t>
  </si>
  <si>
    <t>16-05-2009</t>
  </si>
  <si>
    <t>20-01-2009</t>
  </si>
  <si>
    <t>20-05-2009</t>
  </si>
  <si>
    <t>21-01-2009</t>
  </si>
  <si>
    <t>21-05-2009</t>
  </si>
  <si>
    <t>23-01-2009</t>
  </si>
  <si>
    <t>23-04-2009</t>
  </si>
  <si>
    <t>22-01-2009</t>
  </si>
  <si>
    <t>22-05-2009</t>
  </si>
  <si>
    <t>23-05-2009</t>
  </si>
  <si>
    <t>26-01-2009</t>
  </si>
  <si>
    <t>26-04-2009</t>
  </si>
  <si>
    <t>27-01-2009</t>
  </si>
  <si>
    <t>27-04-2009</t>
  </si>
  <si>
    <t>27-05-2009</t>
  </si>
  <si>
    <t>30-01-2009</t>
  </si>
  <si>
    <t>30-04-2009</t>
  </si>
  <si>
    <t>29-01-2009</t>
  </si>
  <si>
    <t>29-05-2009</t>
  </si>
  <si>
    <t>28-01-2009</t>
  </si>
  <si>
    <t>28-05-2009</t>
  </si>
  <si>
    <t>30-05-2009</t>
  </si>
  <si>
    <t>03-02-2009</t>
  </si>
  <si>
    <t>04-05-2009</t>
  </si>
  <si>
    <t>02-2009</t>
  </si>
  <si>
    <t>06-02-2009</t>
  </si>
  <si>
    <t>05-02-2009</t>
  </si>
  <si>
    <t>06-05-2009</t>
  </si>
  <si>
    <t>09-02-2009</t>
  </si>
  <si>
    <t>10-05-2009</t>
  </si>
  <si>
    <t>17-02-2009</t>
  </si>
  <si>
    <t>18-05-2009</t>
  </si>
  <si>
    <t>10-02-2009</t>
  </si>
  <si>
    <t>11-05-2009</t>
  </si>
  <si>
    <t>11-02-2009</t>
  </si>
  <si>
    <t>12-05-2009</t>
  </si>
  <si>
    <t>12-02-2009</t>
  </si>
  <si>
    <t>16-02-2009</t>
  </si>
  <si>
    <t>17-05-2009</t>
  </si>
  <si>
    <t>13-02-2009</t>
  </si>
  <si>
    <t>23-02-2009</t>
  </si>
  <si>
    <t>23-06-2009</t>
  </si>
  <si>
    <t>24-02-2009</t>
  </si>
  <si>
    <t>24-06-2009</t>
  </si>
  <si>
    <t>26-02-2009</t>
  </si>
  <si>
    <t>26-06-2009</t>
  </si>
  <si>
    <t>27-02-2009</t>
  </si>
  <si>
    <t>05-03-2009</t>
  </si>
  <si>
    <t>03-06-2009</t>
  </si>
  <si>
    <t>03-2009</t>
  </si>
  <si>
    <t>02-07-2009</t>
  </si>
  <si>
    <t>03-07-2009</t>
  </si>
  <si>
    <t>12-03-2009</t>
  </si>
  <si>
    <t>10-06-2009</t>
  </si>
  <si>
    <t>16-03-2009</t>
  </si>
  <si>
    <t>14-06-2009</t>
  </si>
  <si>
    <t>10-07-2009</t>
  </si>
  <si>
    <t>10-03-2009</t>
  </si>
  <si>
    <t>08-07-2009</t>
  </si>
  <si>
    <t>17-06-2009</t>
  </si>
  <si>
    <t>20-03-2009</t>
  </si>
  <si>
    <t>18-06-2009</t>
  </si>
  <si>
    <t>26-03-2009</t>
  </si>
  <si>
    <t>24-07-2009</t>
  </si>
  <si>
    <t>27-03-2009</t>
  </si>
  <si>
    <t>25-07-2009</t>
  </si>
  <si>
    <t>29-07-2009</t>
  </si>
  <si>
    <t>30-03-2009</t>
  </si>
  <si>
    <t>28-07-2009</t>
  </si>
  <si>
    <t>25-05-2009</t>
  </si>
  <si>
    <t>01-04-2009</t>
  </si>
  <si>
    <t>30-07-2009</t>
  </si>
  <si>
    <t>04-2009</t>
  </si>
  <si>
    <t>11-08-2009</t>
  </si>
  <si>
    <t>31-12-2009</t>
  </si>
  <si>
    <t>07-2009</t>
  </si>
  <si>
    <t>10-09-2009</t>
  </si>
  <si>
    <t>08-2009</t>
  </si>
  <si>
    <t>08-09-2009</t>
  </si>
  <si>
    <t>22-09-2009</t>
  </si>
  <si>
    <t>09-2009</t>
  </si>
  <si>
    <t>07-09-2009</t>
  </si>
  <si>
    <t>21-09-2009</t>
  </si>
  <si>
    <t>05-10-2009</t>
  </si>
  <si>
    <t>28-09-2009</t>
  </si>
  <si>
    <t>12-10-2009</t>
  </si>
  <si>
    <t>07-10-2009</t>
  </si>
  <si>
    <t>19-10-2009</t>
  </si>
  <si>
    <t>10-2009</t>
  </si>
  <si>
    <t>14-10-2009</t>
  </si>
  <si>
    <t>28-10-2009</t>
  </si>
  <si>
    <t>Všeob. materiál</t>
  </si>
  <si>
    <t>22-10-2009</t>
  </si>
  <si>
    <t>05-11-2009</t>
  </si>
  <si>
    <t>29-10-2009</t>
  </si>
  <si>
    <t>12-11-2009</t>
  </si>
  <si>
    <t>26-10-2009</t>
  </si>
  <si>
    <t>09-11-2009</t>
  </si>
  <si>
    <t>04-11-2009</t>
  </si>
  <si>
    <t>31-01-2010</t>
  </si>
  <si>
    <t>18-11-2009</t>
  </si>
  <si>
    <t>11-2009</t>
  </si>
  <si>
    <t>13-11-2009</t>
  </si>
  <si>
    <t>27-11-2009</t>
  </si>
  <si>
    <t>16-11-2009</t>
  </si>
  <si>
    <t>30-11-2009</t>
  </si>
  <si>
    <t>11-12-2009</t>
  </si>
  <si>
    <t>03-12-2009</t>
  </si>
  <si>
    <t>28-02-2010</t>
  </si>
  <si>
    <t>10-12-2009</t>
  </si>
  <si>
    <t>24-12-2009</t>
  </si>
  <si>
    <t>12-2009</t>
  </si>
  <si>
    <t>07-01-2010</t>
  </si>
  <si>
    <t>07-04-2010</t>
  </si>
  <si>
    <t>24-01-2010</t>
  </si>
  <si>
    <t>Sl. nevýr.pov.-zneškodnenie odpadov</t>
  </si>
  <si>
    <t>31-03-2010</t>
  </si>
  <si>
    <t>11-01-2010</t>
  </si>
  <si>
    <t>25-01-2010</t>
  </si>
  <si>
    <t>09-01-2010</t>
  </si>
  <si>
    <t>23-01-2010</t>
  </si>
  <si>
    <t>01-2010</t>
  </si>
  <si>
    <t>16-01-2010</t>
  </si>
  <si>
    <t>30-01-2010</t>
  </si>
  <si>
    <t>18-01-2010</t>
  </si>
  <si>
    <t>01-02-2010</t>
  </si>
  <si>
    <t>22-01-2010</t>
  </si>
  <si>
    <t>05-02-2010</t>
  </si>
  <si>
    <t>21-01-2010</t>
  </si>
  <si>
    <t>04-02-2010</t>
  </si>
  <si>
    <t>02-02-2010</t>
  </si>
  <si>
    <t>02-05-2010</t>
  </si>
  <si>
    <t>03-02-2010</t>
  </si>
  <si>
    <t>17-02-2010</t>
  </si>
  <si>
    <t>02-2010</t>
  </si>
  <si>
    <t>09-02-2010</t>
  </si>
  <si>
    <t>23-02-2010</t>
  </si>
  <si>
    <t>10-02-2010</t>
  </si>
  <si>
    <t>11-05-2010</t>
  </si>
  <si>
    <t>11-02-2010</t>
  </si>
  <si>
    <t>25-02-2010</t>
  </si>
  <si>
    <t>12-02-2010</t>
  </si>
  <si>
    <t>26-02-2010</t>
  </si>
  <si>
    <t>01-03-2010</t>
  </si>
  <si>
    <t>01-06-2010</t>
  </si>
  <si>
    <t>08-03-2010</t>
  </si>
  <si>
    <t>06-06-2010</t>
  </si>
  <si>
    <t>29-03-2010</t>
  </si>
  <si>
    <t>29-06-2010</t>
  </si>
  <si>
    <t>03-2010</t>
  </si>
  <si>
    <t>09-04-2010</t>
  </si>
  <si>
    <t>08-07-2010</t>
  </si>
  <si>
    <t>06-05-2010</t>
  </si>
  <si>
    <t>04-08-2010</t>
  </si>
  <si>
    <t>04-2010</t>
  </si>
  <si>
    <t>IČO: 46758054; Firma: Spoločné zdravotníctvo, a.s.-pr.nás.Prešovské zdra, Lamačská cesta 3, 841 04 Bratislava</t>
  </si>
  <si>
    <t>14-02-2013</t>
  </si>
  <si>
    <t>10-04-2013</t>
  </si>
  <si>
    <t>20-04-2013</t>
  </si>
  <si>
    <t>09-05-2013</t>
  </si>
  <si>
    <t>20-05-2013</t>
  </si>
  <si>
    <t>05-2013</t>
  </si>
  <si>
    <t>09-06-2013</t>
  </si>
  <si>
    <t>20-06-2013</t>
  </si>
  <si>
    <t>06-2013</t>
  </si>
  <si>
    <t>10-07-2013</t>
  </si>
  <si>
    <t>20-07-2013</t>
  </si>
  <si>
    <t>07-2013</t>
  </si>
  <si>
    <t>13-08-2013</t>
  </si>
  <si>
    <t>20-08-2013</t>
  </si>
  <si>
    <t>08-2013</t>
  </si>
  <si>
    <t>13-09-2013</t>
  </si>
  <si>
    <t>20-09-2013</t>
  </si>
  <si>
    <t>09-2013</t>
  </si>
  <si>
    <t>14-10-2013</t>
  </si>
  <si>
    <t>20-10-2013</t>
  </si>
  <si>
    <t>10-2013</t>
  </si>
  <si>
    <t>12-11-2013</t>
  </si>
  <si>
    <t>20-11-2013</t>
  </si>
  <si>
    <t>11-2013</t>
  </si>
  <si>
    <t>12-12-2013</t>
  </si>
  <si>
    <t>20-12-2013</t>
  </si>
  <si>
    <t>20-01-2014</t>
  </si>
  <si>
    <t>20-02-2014</t>
  </si>
  <si>
    <t>01-2014</t>
  </si>
  <si>
    <t>13-03-2014</t>
  </si>
  <si>
    <t>14-04-2014</t>
  </si>
  <si>
    <t>20-04-2014</t>
  </si>
  <si>
    <t>12-05-2014</t>
  </si>
  <si>
    <t>20-05-2014</t>
  </si>
  <si>
    <t>05-2014</t>
  </si>
  <si>
    <t>13-06-2014</t>
  </si>
  <si>
    <t>20-06-2014</t>
  </si>
  <si>
    <t>IČO: 47249048; Firma: Nemocnica A. Leňa Humenné, a. s., Nemocničná 7, 066 01 Humenné</t>
  </si>
  <si>
    <t>Refakturácia-vianočná kolekcia SF</t>
  </si>
  <si>
    <t>31-12-2014</t>
  </si>
  <si>
    <t>30-01-2015</t>
  </si>
  <si>
    <t>Refakturácia-poukážky SF</t>
  </si>
  <si>
    <t>HK 321</t>
  </si>
  <si>
    <t>ok, rocne vyuctovanie (dobropis) najomneho od PZ - do lehoty</t>
  </si>
  <si>
    <t>VC: Nájomné a služby spojené s nájmom</t>
  </si>
  <si>
    <t>refundácia miezd</t>
  </si>
  <si>
    <t>amortizácia výnosov budúcich období (bezodplatne nadobudnutý majetok)</t>
  </si>
  <si>
    <t>nárok za manká a škody</t>
  </si>
  <si>
    <t>CHECK - p. Jesenskej - OK</t>
  </si>
  <si>
    <t>Nájomné nehnuteľného majetku</t>
  </si>
  <si>
    <t>45 269,99</t>
  </si>
  <si>
    <t>Nájomné hnuteľného majetku</t>
  </si>
  <si>
    <t>359 438,24</t>
  </si>
  <si>
    <t>Ostatné nájomné</t>
  </si>
  <si>
    <t>19 511,06</t>
  </si>
  <si>
    <t>Náklady na informačné technológie</t>
  </si>
  <si>
    <t>39 239,17</t>
  </si>
  <si>
    <t>31 925,06</t>
  </si>
  <si>
    <t>331 656,32</t>
  </si>
  <si>
    <t>Školenia, semináre, kurzy, konferencie</t>
  </si>
  <si>
    <t>1 756,19</t>
  </si>
  <si>
    <t>Upratovanie dodávateľsky</t>
  </si>
  <si>
    <t>199 452,95</t>
  </si>
  <si>
    <t>219 714,46</t>
  </si>
  <si>
    <t>363 890,57</t>
  </si>
  <si>
    <t>1 313,99</t>
  </si>
  <si>
    <t>1 884,07</t>
  </si>
  <si>
    <t>139 152,30</t>
  </si>
  <si>
    <t>1 999,17</t>
  </si>
  <si>
    <t>aktivny ucet, alebo pasivny</t>
  </si>
  <si>
    <t>aktiva alebo pasiva</t>
  </si>
  <si>
    <t>check</t>
  </si>
  <si>
    <t>kategoria</t>
  </si>
  <si>
    <t>P&amp;L</t>
  </si>
  <si>
    <t>-- nájomné Preš.zdrav.  priestory</t>
  </si>
  <si>
    <t>-- nájomné Preš.zdrav.  inventár</t>
  </si>
  <si>
    <t>-- nájomné Preš.zdrav.èas DPH za invent</t>
  </si>
  <si>
    <t>- ostat.nájomné spolu-2014 ost.nájomné</t>
  </si>
  <si>
    <t>- nák.na inform.tech.-2014 spolu</t>
  </si>
  <si>
    <t>-- telefónne popl.-2014 pevná linka</t>
  </si>
  <si>
    <t>518.630000000</t>
  </si>
  <si>
    <t>-- ost.výk.spojov</t>
  </si>
  <si>
    <t>-- audit,právn.sl.,porad.HÈ-2014 audit</t>
  </si>
  <si>
    <t>-- ost.sl. HÈ-revízie-2014 spolu</t>
  </si>
  <si>
    <t>-- ost.sl. HÈ-konzília, ÚPS</t>
  </si>
  <si>
    <t>--ost.sl.HÈ-vývoz a zneš.odp.-2014 spolu</t>
  </si>
  <si>
    <t>-- ost.sl.HÈ-popl. na školenia,semináre</t>
  </si>
  <si>
    <t>-- ost.sl. HÈ-ostatné-2014 spolu- neuèt.</t>
  </si>
  <si>
    <t>-- nájom.ost. PÈ spolu-2014 ost.náj.Pè</t>
  </si>
  <si>
    <t>518.963000000</t>
  </si>
  <si>
    <t>-- ostatné výkony spojov-2014 nepouž</t>
  </si>
  <si>
    <t>odmeny darcom krvi</t>
  </si>
  <si>
    <t>Lístky na stravovanie SPOLU</t>
  </si>
  <si>
    <t>771.100000000</t>
  </si>
  <si>
    <t>- lístky na stravovanie pokladòa</t>
  </si>
  <si>
    <t>771.200000000</t>
  </si>
  <si>
    <t>- lístky na stravovanie  OLVaS</t>
  </si>
  <si>
    <t>Hosp.mobil.a CO-materiál v skladoch</t>
  </si>
  <si>
    <t>775.100000000</t>
  </si>
  <si>
    <t>- Materiál CO v skladoch</t>
  </si>
  <si>
    <t>775.120000000</t>
  </si>
  <si>
    <t>-- materiál CO v skladoch</t>
  </si>
  <si>
    <t>775.200000000</t>
  </si>
  <si>
    <t>- Majetok hospod.mobilizácie</t>
  </si>
  <si>
    <t>775.210000000</t>
  </si>
  <si>
    <t>-- majetok hosp.mob. - hmot.maj.</t>
  </si>
  <si>
    <t>775.220000000</t>
  </si>
  <si>
    <t>-- majetok hosp.mob. - nehmot.maj.</t>
  </si>
  <si>
    <t>Vyrovnávací úèet k podsúvahovým úètom</t>
  </si>
  <si>
    <t>799.100000000</t>
  </si>
  <si>
    <t>- vyrovnávací úèet k podsúvahovým úètom</t>
  </si>
  <si>
    <t>odpisy a ZC predaného majetku</t>
  </si>
  <si>
    <t>Nemocničná</t>
  </si>
  <si>
    <t>06601</t>
  </si>
  <si>
    <t>Humenné</t>
  </si>
  <si>
    <t>douctovanie VSZP</t>
  </si>
  <si>
    <t>bonifikacia k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</si>
</sst>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3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&quot; &quot;;\(#,##0\);\-&quot;  &quot;"/>
    <numFmt numFmtId="165" formatCode="dd\.mm\.yyyy"/>
    <numFmt numFmtId="166" formatCode="00"/>
    <numFmt numFmtId="167" formatCode="000"/>
    <numFmt numFmtId="168" formatCode="_-* #,##0.00\ _S_k_-;\-* #,##0.00\ _S_k_-;_-* &quot;-&quot;??\ _S_k_-;_-@_-"/>
    <numFmt numFmtId="169" formatCode="#,##0.00&quot; &quot;;\(#,##0.00\);\-&quot;  &quot;"/>
    <numFmt numFmtId="170" formatCode="&quot; &quot;#,##0.00&quot;      &quot;;&quot;-&quot;#,##0.00&quot;      &quot;;&quot; -&quot;#&quot;      &quot;;@&quot; &quot;"/>
    <numFmt numFmtId="171" formatCode="&quot; &quot;#,##0.00&quot;    &quot;;&quot;-&quot;#,##0.00&quot;    &quot;;&quot; -&quot;#&quot;    &quot;;@&quot; &quot;"/>
    <numFmt numFmtId="172" formatCode="#,##0.00&quot; &quot;[$€-41B];[Red]&quot;-&quot;#,##0.00&quot; &quot;[$€-41B]"/>
    <numFmt numFmtId="173" formatCode="[$-41B]General"/>
    <numFmt numFmtId="174" formatCode="#,##0,"/>
    <numFmt numFmtId="175" formatCode="#,##0&quot; /j&quot;"/>
    <numFmt numFmtId="176" formatCode="[Red]0;[Red]\-0;[Color16]\O\K"/>
    <numFmt numFmtId="177" formatCode="[Red][=1]0%;[Black][=0]&quot;&quot;;[Black]0.00%"/>
    <numFmt numFmtId="178" formatCode="#,##0\ &quot;Esc.&quot;;\-#,##0\ &quot;Esc.&quot;"/>
    <numFmt numFmtId="179" formatCode="_-* #,##0.00_-;\-* #,##0.00_-;_-* &quot;-&quot;??_-;_-@_-"/>
    <numFmt numFmtId="180" formatCode="_-* #,##0.00\ _z_ł_-;\-* #,##0.00\ _z_ł_-;_-* &quot;-&quot;??\ _z_ł_-;_-@_-"/>
    <numFmt numFmtId="181" formatCode="[&lt;0]&quot;- &quot;#,##0;[&gt;0]&quot;+ &quot;#,##0;#,##0"/>
    <numFmt numFmtId="182" formatCode="#,##0.00,"/>
    <numFmt numFmtId="183" formatCode="_-* #,##0.00&quot; €&quot;_-;\-* #,##0.00&quot; €&quot;_-;_-* &quot;-&quot;&quot; €&quot;_-;_-@_-"/>
    <numFmt numFmtId="184" formatCode="#,###,##0"/>
    <numFmt numFmtId="185" formatCode="_-* #,##0_-;\-* #,##0_-;_-* &quot;-&quot;_-;_-@_-"/>
    <numFmt numFmtId="186" formatCode="_-* #,##0\ _F_-;\-* #,##0\ _F_-;_-* &quot;-&quot;\ _F_-;_-@_-"/>
    <numFmt numFmtId="187" formatCode="_-* #,##0.00\ _F_-;\-* #,##0.00\ _F_-;_-* &quot;-&quot;??\ _F_-;_-@_-"/>
    <numFmt numFmtId="188" formatCode="_-* #,##0.00&quot; M€&quot;_-;\-* #,##0.00&quot; M€&quot;_-;_-* &quot;-&quot;&quot; M€&quot;_-;_-@_-"/>
    <numFmt numFmtId="189" formatCode="_-* #,##0\ &quot;F&quot;_-;\-* #,##0\ &quot;F&quot;_-;_-* &quot;-&quot;\ &quot;F&quot;_-;_-@_-"/>
    <numFmt numFmtId="190" formatCode="_-* #,##0.00\ &quot;F&quot;_-;\-* #,##0.00\ &quot;F&quot;_-;_-* &quot;-&quot;??\ &quot;F&quot;_-;_-@_-"/>
    <numFmt numFmtId="191" formatCode="&quot;(&quot;0.00%&quot;)&quot;"/>
    <numFmt numFmtId="192" formatCode="_(* #,##0.00_);_(* \(#,##0.00\);_(* &quot;-&quot;??_);_(@_)"/>
    <numFmt numFmtId="193" formatCode="_-&quot;L.&quot;\ * #,##0_-;\-&quot;L.&quot;\ * #,##0_-;_-&quot;L.&quot;\ * &quot;-&quot;_-;_-@_-"/>
    <numFmt numFmtId="194" formatCode="_-&quot;L.&quot;\ * #,##0.00_-;\-&quot;L.&quot;\ * #,##0.00_-;_-&quot;L.&quot;\ * &quot;-&quot;??_-;_-@_-"/>
    <numFmt numFmtId="195" formatCode="_-* #,##0\ &quot;zł&quot;_-;\-* #,##0\ &quot;zł&quot;_-;_-* &quot;-&quot;\ &quot;zł&quot;_-;_-@_-"/>
    <numFmt numFmtId="196" formatCode="_-* #,##0.00\ &quot;zł&quot;_-;\-* #,##0.00\ &quot;zł&quot;_-;_-* &quot;-&quot;??\ &quot;zł&quot;_-;_-@_-"/>
    <numFmt numFmtId="197" formatCode="&quot;DM&quot;#,##0_);[Red]\(&quot;DM&quot;#,##0\)"/>
    <numFmt numFmtId="198" formatCode="&quot;DM&quot;#,##0.00_);[Red]\(&quot;DM&quot;#,##0.00\)"/>
    <numFmt numFmtId="199" formatCode="General_)"/>
    <numFmt numFmtId="200" formatCode="_ * #,##0.00_ ;_ * \-#,##0.00_ ;_ * &quot;-&quot;??_ ;_ @_ "/>
    <numFmt numFmtId="201" formatCode="_-* #,##0.00\ [$€]_-;\-* #,##0.00\ [$€]_-;_-* &quot;-&quot;??\ [$€]_-;_-@_-"/>
    <numFmt numFmtId="202" formatCode="_-* #,##0.00\ _K_č_-;\-* #,##0.00\ _K_č_-;_-* &quot;-&quot;??\ _K_č_-;_-@_-"/>
    <numFmt numFmtId="203" formatCode="_(* #,##0_);_(* \(#,##0\);_(* &quot;-&quot;_);_(@_)"/>
    <numFmt numFmtId="204" formatCode="0."/>
    <numFmt numFmtId="205" formatCode="_(* #,##0.0_);_(* \(#,##0.0\);_(* &quot;-&quot;?_);@_)"/>
    <numFmt numFmtId="206" formatCode="0&quot;  &quot;"/>
    <numFmt numFmtId="207" formatCode="_-* #,##0.00\ _€_-;\-* #,##0.00\ _€_-;_-* \-??\ _€_-;_-@_-"/>
    <numFmt numFmtId="208" formatCode="_-* #,##0.00\ &quot;Sk&quot;_-;\-* #,##0.00\ &quot;Sk&quot;_-;_-* &quot;-&quot;??\ &quot;Sk&quot;_-;_-@_-"/>
    <numFmt numFmtId="209" formatCode="_(* #,##0_);_(* \(#,##0\);_(* &quot;&quot;\ \-\ &quot;&quot;_);_(@_)"/>
    <numFmt numFmtId="210" formatCode="mmm\.yy"/>
    <numFmt numFmtId="211" formatCode="mm/dd/yy"/>
    <numFmt numFmtId="212" formatCode="\ #,##0.00&quot;    &quot;;\-#,##0.00&quot;    &quot;;&quot; -&quot;#&quot;    &quot;;@\ "/>
    <numFmt numFmtId="213" formatCode="\ #,##0.00&quot;      &quot;;\-#,##0.00&quot;      &quot;;&quot; -&quot;#&quot;      &quot;;@\ "/>
    <numFmt numFmtId="214" formatCode="_-* #,##0.00\ _S_k_-;\-* #,##0.00\ _S_k_-;_-* \-??\ _S_k_-;_-@_-"/>
    <numFmt numFmtId="215" formatCode="&quot; &quot;#,##0.00&quot;    &quot;;&quot;-&quot;#,##0.00&quot;    &quot;;&quot; -&quot;#&quot;    &quot;;&quot; &quot;@&quot; &quot;"/>
    <numFmt numFmtId="216" formatCode="&quot; &quot;#,##0.00&quot;      &quot;;&quot;-&quot;#,##0.00&quot;      &quot;;&quot; -&quot;#&quot;      &quot;;&quot; &quot;@&quot; &quot;"/>
    <numFmt numFmtId="217" formatCode="[$-41B]0%"/>
    <numFmt numFmtId="218" formatCode="0.0"/>
    <numFmt numFmtId="219" formatCode="#,###,###,###,##0.00"/>
    <numFmt numFmtId="220" formatCode="_-* #,##0.00\ _E_U_R_-;\-* #,##0.00\ _E_U_R_-;_-* &quot;-&quot;??\ _E_U_R_-;_-@_-"/>
    <numFmt numFmtId="221" formatCode="#,##0.0000"/>
    <numFmt numFmtId="222" formatCode="#,##0.00;\-#,##0.00;0.00"/>
  </numFmts>
  <fonts count="28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9.5"/>
      <name val="Verdana"/>
      <family val="2"/>
      <charset val="238"/>
    </font>
    <font>
      <sz val="9.5"/>
      <name val="Verdana"/>
      <family val="2"/>
    </font>
    <font>
      <b/>
      <sz val="10"/>
      <name val="Arial CE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i/>
      <sz val="11"/>
      <color indexed="10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name val="MS Sans Serif"/>
      <family val="2"/>
    </font>
    <font>
      <sz val="11"/>
      <color indexed="12"/>
      <name val="Calibri"/>
      <family val="2"/>
    </font>
    <font>
      <sz val="8"/>
      <color theme="1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10"/>
      <name val="Arial"/>
      <charset val="238"/>
    </font>
    <font>
      <i/>
      <sz val="8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9"/>
      <color indexed="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12"/>
      <name val="Calibri"/>
      <family val="2"/>
      <charset val="238"/>
    </font>
    <font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sz val="10"/>
      <name val="MS Sans Serif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</font>
    <font>
      <sz val="10"/>
      <color indexed="8"/>
      <name val="Arial"/>
      <family val="2"/>
      <charset val="238"/>
    </font>
    <font>
      <sz val="11"/>
      <color indexed="9"/>
      <name val="Calibri"/>
      <family val="2"/>
    </font>
    <font>
      <sz val="10"/>
      <color indexed="9"/>
      <name val="Arial"/>
      <family val="2"/>
      <charset val="238"/>
    </font>
    <font>
      <sz val="11"/>
      <color indexed="1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52"/>
      <name val="Calibri"/>
      <family val="2"/>
    </font>
    <font>
      <i/>
      <sz val="10"/>
      <color indexed="10"/>
      <name val="Arial"/>
      <family val="2"/>
    </font>
    <font>
      <b/>
      <sz val="10"/>
      <name val="Arial"/>
      <family val="2"/>
    </font>
    <font>
      <sz val="10"/>
      <color indexed="24"/>
      <name val="Arial"/>
      <family val="2"/>
      <charset val="238"/>
    </font>
    <font>
      <sz val="8"/>
      <name val="Tahoma"/>
      <family val="2"/>
      <charset val="238"/>
    </font>
    <font>
      <sz val="10"/>
      <color indexed="10"/>
      <name val="Arial"/>
      <family val="2"/>
    </font>
    <font>
      <sz val="10"/>
      <color indexed="16"/>
      <name val="Times New Roman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i/>
      <sz val="10"/>
      <color indexed="12"/>
      <name val="Arial"/>
      <family val="2"/>
    </font>
    <font>
      <sz val="10"/>
      <color indexed="24"/>
      <name val="Arial"/>
      <family val="2"/>
    </font>
    <font>
      <i/>
      <sz val="10"/>
      <color indexed="11"/>
      <name val="Arial"/>
      <family val="2"/>
    </font>
    <font>
      <sz val="8"/>
      <name val="Times New Roman"/>
      <family val="1"/>
    </font>
    <font>
      <u/>
      <sz val="10"/>
      <color indexed="12"/>
      <name val="Arial"/>
      <family val="2"/>
      <charset val="238"/>
    </font>
    <font>
      <u/>
      <sz val="10"/>
      <color indexed="36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8"/>
      <color indexed="18"/>
      <name val="Arial"/>
      <family val="2"/>
    </font>
    <font>
      <sz val="8"/>
      <name val="Avant Garde"/>
    </font>
    <font>
      <sz val="11"/>
      <color indexed="18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  <charset val="238"/>
    </font>
    <font>
      <b/>
      <sz val="11"/>
      <color indexed="9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u/>
      <sz val="8"/>
      <color indexed="8"/>
      <name val="Arial"/>
      <family val="2"/>
    </font>
    <font>
      <i/>
      <u/>
      <sz val="8"/>
      <color indexed="8"/>
      <name val="Arial"/>
      <family val="2"/>
    </font>
    <font>
      <sz val="10"/>
      <color indexed="48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8"/>
      <color indexed="56"/>
      <name val="Cambria"/>
      <family val="2"/>
    </font>
    <font>
      <sz val="10"/>
      <color indexed="60"/>
      <name val="Arial"/>
      <family val="2"/>
      <charset val="238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Courier"/>
      <family val="1"/>
      <charset val="238"/>
    </font>
    <font>
      <sz val="10"/>
      <name val="Comic Sans MS"/>
      <family val="4"/>
      <charset val="238"/>
    </font>
    <font>
      <sz val="12"/>
      <color indexed="19"/>
      <name val="Times New Roman"/>
      <family val="1"/>
    </font>
    <font>
      <i/>
      <sz val="10"/>
      <color indexed="23"/>
      <name val="Arial"/>
      <family val="2"/>
    </font>
    <font>
      <sz val="10"/>
      <color indexed="52"/>
      <name val="Arial"/>
      <family val="2"/>
      <charset val="238"/>
    </font>
    <font>
      <sz val="12"/>
      <name val="Helv"/>
    </font>
    <font>
      <i/>
      <sz val="10"/>
      <name val="Times New Roman"/>
      <family val="1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0"/>
      <name val="Tahoma"/>
      <family val="2"/>
    </font>
    <font>
      <i/>
      <sz val="11"/>
      <color indexed="23"/>
      <name val="Calibri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Arial"/>
      <family val="2"/>
    </font>
    <font>
      <b/>
      <sz val="8"/>
      <color indexed="32"/>
      <name val="Arial"/>
      <family val="2"/>
    </font>
    <font>
      <b/>
      <sz val="18"/>
      <color indexed="56"/>
      <name val="Cambria"/>
      <family val="2"/>
      <charset val="238"/>
    </font>
    <font>
      <sz val="10"/>
      <color indexed="18"/>
      <name val="Arial"/>
      <family val="2"/>
    </font>
    <font>
      <sz val="12"/>
      <color indexed="20"/>
      <name val="Times New Roman"/>
      <family val="1"/>
    </font>
    <font>
      <i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20"/>
      <name val="Arial"/>
      <family val="2"/>
      <charset val="238"/>
    </font>
    <font>
      <sz val="12"/>
      <name val="宋体"/>
      <charset val="134"/>
    </font>
    <font>
      <sz val="12"/>
      <name val="Times New Roman"/>
      <family val="1"/>
    </font>
    <font>
      <sz val="11"/>
      <name val="ＭＳ Ｐゴシック"/>
      <family val="3"/>
      <charset val="128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Verdana"/>
      <family val="2"/>
      <charset val="238"/>
    </font>
    <font>
      <sz val="11"/>
      <color indexed="8"/>
      <name val="Verdana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9"/>
      <name val="Book Antiqua CE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MS Sans Serif"/>
      <family val="2"/>
      <charset val="238"/>
    </font>
    <font>
      <u/>
      <sz val="11"/>
      <color indexed="12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9"/>
      <color indexed="24"/>
      <name val="Arial"/>
      <family val="2"/>
      <charset val="238"/>
    </font>
    <font>
      <sz val="12"/>
      <name val="Tms Rmn"/>
    </font>
    <font>
      <sz val="10"/>
      <name val="Geneva"/>
      <family val="2"/>
    </font>
    <font>
      <b/>
      <u val="singleAccounting"/>
      <sz val="8"/>
      <color indexed="8"/>
      <name val="Arial"/>
      <family val="2"/>
    </font>
    <font>
      <sz val="10"/>
      <name val="MS Serif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8"/>
      <name val="Calibri"/>
      <family val="2"/>
    </font>
    <font>
      <b/>
      <i/>
      <sz val="16"/>
      <color rgb="FF000000"/>
      <name val="Arial"/>
      <family val="2"/>
      <charset val="238"/>
    </font>
    <font>
      <u/>
      <sz val="10"/>
      <color theme="10"/>
      <name val="Arial"/>
      <family val="2"/>
    </font>
    <font>
      <u/>
      <sz val="8.25"/>
      <color theme="10"/>
      <name val="Calibri"/>
      <family val="2"/>
      <charset val="238"/>
    </font>
    <font>
      <sz val="1"/>
      <color indexed="9"/>
      <name val="Symbol"/>
      <family val="1"/>
      <charset val="2"/>
    </font>
    <font>
      <b/>
      <u val="singleAccounting"/>
      <sz val="8"/>
      <color indexed="8"/>
      <name val="Verdana"/>
      <family val="2"/>
      <charset val="238"/>
    </font>
    <font>
      <b/>
      <sz val="10"/>
      <color indexed="9"/>
      <name val="Arial"/>
      <family val="2"/>
    </font>
    <font>
      <b/>
      <sz val="12"/>
      <color indexed="8"/>
      <name val="Verdana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sz val="8"/>
      <name val="Helv"/>
    </font>
    <font>
      <b/>
      <sz val="10"/>
      <color indexed="10"/>
      <name val="Arial"/>
      <family val="2"/>
      <charset val="238"/>
    </font>
    <font>
      <b/>
      <sz val="8"/>
      <color indexed="9"/>
      <name val="Verdana"/>
      <family val="2"/>
      <charset val="238"/>
    </font>
    <font>
      <b/>
      <sz val="9"/>
      <color indexed="9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sz val="10"/>
      <name val="Helv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sz val="13"/>
      <color indexed="8"/>
      <name val="Verdana"/>
      <family val="2"/>
      <charset val="238"/>
    </font>
    <font>
      <sz val="11"/>
      <color rgb="FF000000"/>
      <name val="Verdana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11"/>
      <color rgb="FFFFFFF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1F497D"/>
      <name val="Calibri"/>
      <family val="2"/>
      <charset val="238"/>
    </font>
    <font>
      <b/>
      <sz val="13"/>
      <color rgb="FF1F497D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1F497D"/>
      <name val="Cambria"/>
      <family val="1"/>
      <charset val="238"/>
    </font>
    <font>
      <b/>
      <sz val="11"/>
      <color rgb="FFFA7D00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3F3F76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indexed="8"/>
      <name val="Arial"/>
      <family val="2"/>
      <charset val="1"/>
    </font>
    <font>
      <sz val="10"/>
      <color rgb="FF000000"/>
      <name val="Arial1"/>
      <charset val="238"/>
    </font>
    <font>
      <sz val="8"/>
      <color rgb="FF00B050"/>
      <name val="Arial"/>
      <family val="2"/>
      <charset val="238"/>
    </font>
    <font>
      <b/>
      <i/>
      <sz val="8"/>
      <name val="Arial Narrow"/>
      <family val="2"/>
      <charset val="238"/>
    </font>
    <font>
      <b/>
      <sz val="9"/>
      <name val="Arial CE"/>
      <family val="2"/>
      <charset val="238"/>
    </font>
    <font>
      <b/>
      <i/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 Narrow"/>
      <family val="2"/>
      <charset val="238"/>
    </font>
    <font>
      <sz val="11"/>
      <name val="Calibri"/>
      <family val="2"/>
      <charset val="238"/>
    </font>
    <font>
      <i/>
      <sz val="8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</fonts>
  <fills count="1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gray0625">
        <fgColor indexed="18"/>
        <bgColor indexed="9"/>
      </patternFill>
    </fill>
    <fill>
      <patternFill patternType="solid">
        <fgColor indexed="55"/>
      </patternFill>
    </fill>
    <fill>
      <patternFill patternType="gray125">
        <fgColor indexed="9"/>
        <bgColor indexed="9"/>
      </patternFill>
    </fill>
    <fill>
      <patternFill patternType="gray0625">
        <fgColor indexed="9"/>
        <bgColor indexed="9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medium">
        <color indexed="2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6439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5" fillId="2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49" fontId="20" fillId="0" borderId="1">
      <alignment horizontal="left" vertical="center" indent="1"/>
    </xf>
    <xf numFmtId="49" fontId="20" fillId="0" borderId="2">
      <alignment horizontal="center" vertical="center" wrapText="1"/>
    </xf>
    <xf numFmtId="0" fontId="25" fillId="0" borderId="2">
      <alignment horizontal="left" vertical="center" wrapText="1"/>
    </xf>
    <xf numFmtId="0" fontId="42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49" fillId="0" borderId="0"/>
    <xf numFmtId="0" fontId="51" fillId="0" borderId="0"/>
    <xf numFmtId="0" fontId="53" fillId="0" borderId="0"/>
    <xf numFmtId="0" fontId="52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49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49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49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49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49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9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4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49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4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9" fillId="13" borderId="0" applyNumberFormat="0" applyBorder="0" applyAlignment="0" applyProtection="0"/>
    <xf numFmtId="0" fontId="18" fillId="13" borderId="0" applyNumberFormat="0" applyBorder="0" applyAlignment="0" applyProtection="0"/>
    <xf numFmtId="0" fontId="34" fillId="14" borderId="0" applyNumberFormat="0" applyBorder="0" applyAlignment="0" applyProtection="0"/>
    <xf numFmtId="0" fontId="54" fillId="14" borderId="0" applyNumberFormat="0" applyBorder="0" applyAlignment="0" applyProtection="0"/>
    <xf numFmtId="0" fontId="34" fillId="15" borderId="0" applyNumberFormat="0" applyBorder="0" applyAlignment="0" applyProtection="0"/>
    <xf numFmtId="0" fontId="54" fillId="15" borderId="0" applyNumberFormat="0" applyBorder="0" applyAlignment="0" applyProtection="0"/>
    <xf numFmtId="0" fontId="34" fillId="16" borderId="0" applyNumberFormat="0" applyBorder="0" applyAlignment="0" applyProtection="0"/>
    <xf numFmtId="0" fontId="54" fillId="16" borderId="0" applyNumberFormat="0" applyBorder="0" applyAlignment="0" applyProtection="0"/>
    <xf numFmtId="0" fontId="34" fillId="17" borderId="0" applyNumberFormat="0" applyBorder="0" applyAlignment="0" applyProtection="0"/>
    <xf numFmtId="0" fontId="54" fillId="17" borderId="0" applyNumberFormat="0" applyBorder="0" applyAlignment="0" applyProtection="0"/>
    <xf numFmtId="0" fontId="34" fillId="18" borderId="0" applyNumberFormat="0" applyBorder="0" applyAlignment="0" applyProtection="0"/>
    <xf numFmtId="0" fontId="54" fillId="18" borderId="0" applyNumberFormat="0" applyBorder="0" applyAlignment="0" applyProtection="0"/>
    <xf numFmtId="0" fontId="34" fillId="19" borderId="0" applyNumberFormat="0" applyBorder="0" applyAlignment="0" applyProtection="0"/>
    <xf numFmtId="0" fontId="54" fillId="19" borderId="0" applyNumberFormat="0" applyBorder="0" applyAlignment="0" applyProtection="0"/>
    <xf numFmtId="0" fontId="34" fillId="27" borderId="0" applyNumberFormat="0" applyBorder="0" applyAlignment="0" applyProtection="0"/>
    <xf numFmtId="0" fontId="54" fillId="27" borderId="0" applyNumberFormat="0" applyBorder="0" applyAlignment="0" applyProtection="0"/>
    <xf numFmtId="0" fontId="34" fillId="28" borderId="0" applyNumberFormat="0" applyBorder="0" applyAlignment="0" applyProtection="0"/>
    <xf numFmtId="0" fontId="54" fillId="28" borderId="0" applyNumberFormat="0" applyBorder="0" applyAlignment="0" applyProtection="0"/>
    <xf numFmtId="0" fontId="34" fillId="29" borderId="0" applyNumberFormat="0" applyBorder="0" applyAlignment="0" applyProtection="0"/>
    <xf numFmtId="0" fontId="54" fillId="29" borderId="0" applyNumberFormat="0" applyBorder="0" applyAlignment="0" applyProtection="0"/>
    <xf numFmtId="0" fontId="34" fillId="30" borderId="0" applyNumberFormat="0" applyBorder="0" applyAlignment="0" applyProtection="0"/>
    <xf numFmtId="0" fontId="54" fillId="30" borderId="0" applyNumberFormat="0" applyBorder="0" applyAlignment="0" applyProtection="0"/>
    <xf numFmtId="0" fontId="34" fillId="31" borderId="0" applyNumberFormat="0" applyBorder="0" applyAlignment="0" applyProtection="0"/>
    <xf numFmtId="0" fontId="54" fillId="31" borderId="0" applyNumberFormat="0" applyBorder="0" applyAlignment="0" applyProtection="0"/>
    <xf numFmtId="0" fontId="34" fillId="32" borderId="0" applyNumberFormat="0" applyBorder="0" applyAlignment="0" applyProtection="0"/>
    <xf numFmtId="0" fontId="54" fillId="32" borderId="0" applyNumberFormat="0" applyBorder="0" applyAlignment="0" applyProtection="0"/>
    <xf numFmtId="0" fontId="48" fillId="26" borderId="0" applyNumberFormat="0" applyBorder="0" applyAlignment="0" applyProtection="0"/>
    <xf numFmtId="0" fontId="55" fillId="26" borderId="0" applyNumberFormat="0" applyBorder="0" applyAlignment="0" applyProtection="0"/>
    <xf numFmtId="0" fontId="45" fillId="25" borderId="29" applyNumberFormat="0" applyAlignment="0" applyProtection="0"/>
    <xf numFmtId="0" fontId="56" fillId="25" borderId="29" applyNumberFormat="0" applyAlignment="0" applyProtection="0"/>
    <xf numFmtId="0" fontId="4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5" fillId="20" borderId="0" applyNumberFormat="0" applyBorder="0" applyAlignment="0" applyProtection="0"/>
    <xf numFmtId="0" fontId="58" fillId="20" borderId="0" applyNumberFormat="0" applyBorder="0" applyAlignment="0" applyProtection="0"/>
    <xf numFmtId="0" fontId="37" fillId="0" borderId="23" applyNumberFormat="0" applyFill="0" applyAlignment="0" applyProtection="0"/>
    <xf numFmtId="0" fontId="59" fillId="0" borderId="23" applyNumberFormat="0" applyFill="0" applyAlignment="0" applyProtection="0"/>
    <xf numFmtId="0" fontId="38" fillId="0" borderId="24" applyNumberFormat="0" applyFill="0" applyAlignment="0" applyProtection="0"/>
    <xf numFmtId="0" fontId="60" fillId="0" borderId="24" applyNumberFormat="0" applyFill="0" applyAlignment="0" applyProtection="0"/>
    <xf numFmtId="0" fontId="39" fillId="0" borderId="25" applyNumberFormat="0" applyFill="0" applyAlignment="0" applyProtection="0"/>
    <xf numFmtId="0" fontId="61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6" fillId="21" borderId="22" applyNumberFormat="0" applyAlignment="0" applyProtection="0"/>
    <xf numFmtId="0" fontId="62" fillId="21" borderId="22" applyNumberFormat="0" applyAlignment="0" applyProtection="0"/>
    <xf numFmtId="0" fontId="44" fillId="24" borderId="29" applyNumberFormat="0" applyAlignment="0" applyProtection="0"/>
    <xf numFmtId="0" fontId="63" fillId="24" borderId="29" applyNumberFormat="0" applyAlignment="0" applyProtection="0"/>
    <xf numFmtId="0" fontId="41" fillId="0" borderId="27" applyNumberFormat="0" applyFill="0" applyAlignment="0" applyProtection="0"/>
    <xf numFmtId="0" fontId="64" fillId="0" borderId="27" applyNumberFormat="0" applyFill="0" applyAlignment="0" applyProtection="0"/>
    <xf numFmtId="0" fontId="40" fillId="22" borderId="0" applyNumberFormat="0" applyBorder="0" applyAlignment="0" applyProtection="0"/>
    <xf numFmtId="0" fontId="65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46" fillId="25" borderId="30" applyNumberFormat="0" applyAlignment="0" applyProtection="0"/>
    <xf numFmtId="0" fontId="66" fillId="25" borderId="30" applyNumberFormat="0" applyAlignment="0" applyProtection="0"/>
    <xf numFmtId="9" fontId="49" fillId="0" borderId="0" applyFont="0" applyFill="0" applyBorder="0" applyAlignment="0" applyProtection="0"/>
    <xf numFmtId="0" fontId="42" fillId="0" borderId="28" applyNumberFormat="0" applyFill="0" applyAlignment="0" applyProtection="0"/>
    <xf numFmtId="0" fontId="67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85" fillId="0" borderId="0">
      <alignment vertical="top"/>
    </xf>
    <xf numFmtId="0" fontId="19" fillId="0" borderId="0"/>
    <xf numFmtId="168" fontId="19" fillId="0" borderId="0" applyFont="0" applyFill="0" applyBorder="0" applyAlignment="0" applyProtection="0"/>
    <xf numFmtId="0" fontId="86" fillId="0" borderId="0"/>
    <xf numFmtId="0" fontId="88" fillId="0" borderId="0">
      <alignment vertical="top"/>
    </xf>
    <xf numFmtId="0" fontId="87" fillId="0" borderId="0"/>
    <xf numFmtId="9" fontId="19" fillId="0" borderId="0" applyFont="0" applyFill="0" applyBorder="0" applyAlignment="0" applyProtection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0" fillId="0" borderId="2">
      <alignment horizontal="left" vertical="center" wrapText="1"/>
    </xf>
    <xf numFmtId="0" fontId="11" fillId="23" borderId="26" applyNumberFormat="0" applyFont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0" fontId="99" fillId="0" borderId="0"/>
    <xf numFmtId="43" fontId="11" fillId="0" borderId="0" applyFont="0" applyFill="0" applyBorder="0" applyAlignment="0" applyProtection="0"/>
    <xf numFmtId="43" fontId="100" fillId="0" borderId="0" applyFont="0" applyFill="0" applyBorder="0" applyAlignment="0" applyProtection="0"/>
    <xf numFmtId="3" fontId="101" fillId="0" borderId="0">
      <alignment vertical="top"/>
    </xf>
    <xf numFmtId="43" fontId="102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01" fillId="0" borderId="0">
      <alignment vertical="top"/>
    </xf>
    <xf numFmtId="0" fontId="51" fillId="0" borderId="0"/>
    <xf numFmtId="0" fontId="103" fillId="0" borderId="0"/>
    <xf numFmtId="168" fontId="11" fillId="0" borderId="0" applyFont="0" applyFill="0" applyBorder="0" applyAlignment="0" applyProtection="0"/>
    <xf numFmtId="0" fontId="11" fillId="0" borderId="0"/>
    <xf numFmtId="170" fontId="103" fillId="0" borderId="0"/>
    <xf numFmtId="168" fontId="51" fillId="0" borderId="0" applyFont="0" applyFill="0" applyBorder="0" applyAlignment="0" applyProtection="0"/>
    <xf numFmtId="43" fontId="99" fillId="0" borderId="0" applyFont="0" applyFill="0" applyBorder="0" applyAlignment="0" applyProtection="0"/>
    <xf numFmtId="171" fontId="103" fillId="0" borderId="0"/>
    <xf numFmtId="0" fontId="104" fillId="0" borderId="0">
      <alignment horizontal="center"/>
    </xf>
    <xf numFmtId="0" fontId="104" fillId="0" borderId="0">
      <alignment horizontal="center" textRotation="90"/>
    </xf>
    <xf numFmtId="0" fontId="105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99" fillId="0" borderId="0"/>
    <xf numFmtId="9" fontId="11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106" fillId="0" borderId="0"/>
    <xf numFmtId="172" fontId="106" fillId="0" borderId="0"/>
    <xf numFmtId="0" fontId="51" fillId="0" borderId="0"/>
    <xf numFmtId="168" fontId="19" fillId="0" borderId="0" applyFont="0" applyFill="0" applyBorder="0" applyAlignment="0" applyProtection="0"/>
    <xf numFmtId="0" fontId="86" fillId="0" borderId="0"/>
    <xf numFmtId="0" fontId="88" fillId="0" borderId="0">
      <alignment vertical="top"/>
    </xf>
    <xf numFmtId="0" fontId="87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73" fontId="103" fillId="0" borderId="0"/>
    <xf numFmtId="0" fontId="51" fillId="0" borderId="0"/>
    <xf numFmtId="0" fontId="19" fillId="0" borderId="0"/>
    <xf numFmtId="0" fontId="108" fillId="0" borderId="0">
      <alignment vertical="top"/>
    </xf>
    <xf numFmtId="0" fontId="51" fillId="0" borderId="0"/>
    <xf numFmtId="0" fontId="108" fillId="0" borderId="0">
      <alignment vertical="top"/>
    </xf>
    <xf numFmtId="0" fontId="105" fillId="0" borderId="0"/>
    <xf numFmtId="0" fontId="11" fillId="0" borderId="0"/>
    <xf numFmtId="0" fontId="101" fillId="0" borderId="0">
      <alignment vertical="top"/>
    </xf>
    <xf numFmtId="0" fontId="108" fillId="0" borderId="0">
      <alignment vertical="top"/>
    </xf>
    <xf numFmtId="0" fontId="108" fillId="0" borderId="0">
      <alignment vertical="top"/>
    </xf>
    <xf numFmtId="0" fontId="100" fillId="0" borderId="0"/>
    <xf numFmtId="0" fontId="11" fillId="23" borderId="26" applyNumberFormat="0" applyFont="0" applyAlignment="0" applyProtection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03" fillId="0" borderId="0"/>
    <xf numFmtId="0" fontId="109" fillId="0" borderId="0"/>
    <xf numFmtId="0" fontId="109" fillId="0" borderId="0"/>
    <xf numFmtId="0" fontId="10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9" fillId="0" borderId="0"/>
    <xf numFmtId="0" fontId="86" fillId="0" borderId="0"/>
    <xf numFmtId="0" fontId="86" fillId="0" borderId="0"/>
    <xf numFmtId="0" fontId="86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09" fillId="0" borderId="0"/>
    <xf numFmtId="0" fontId="109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89" fillId="0" borderId="0"/>
    <xf numFmtId="0" fontId="8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9" fillId="0" borderId="0"/>
    <xf numFmtId="0" fontId="51" fillId="0" borderId="0"/>
    <xf numFmtId="0" fontId="19" fillId="0" borderId="0"/>
    <xf numFmtId="0" fontId="51" fillId="0" borderId="0"/>
    <xf numFmtId="0" fontId="51" fillId="0" borderId="0"/>
    <xf numFmtId="0" fontId="51" fillId="0" borderId="0"/>
    <xf numFmtId="0" fontId="19" fillId="0" borderId="0"/>
    <xf numFmtId="0" fontId="51" fillId="0" borderId="0"/>
    <xf numFmtId="0" fontId="109" fillId="0" borderId="0"/>
    <xf numFmtId="0" fontId="109" fillId="0" borderId="0"/>
    <xf numFmtId="0" fontId="11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11" fillId="0" borderId="0"/>
    <xf numFmtId="0" fontId="100" fillId="0" borderId="0"/>
    <xf numFmtId="0" fontId="100" fillId="23" borderId="26" applyNumberFormat="0" applyFon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1" fillId="0" borderId="0"/>
    <xf numFmtId="0" fontId="111" fillId="0" borderId="0"/>
    <xf numFmtId="0" fontId="108" fillId="0" borderId="0">
      <alignment vertical="top"/>
    </xf>
    <xf numFmtId="0" fontId="11" fillId="23" borderId="26" applyNumberFormat="0" applyFont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168" fontId="100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05" fillId="0" borderId="0"/>
    <xf numFmtId="0" fontId="113" fillId="0" borderId="0"/>
    <xf numFmtId="0" fontId="105" fillId="0" borderId="0"/>
    <xf numFmtId="0" fontId="99" fillId="0" borderId="0"/>
    <xf numFmtId="9" fontId="99" fillId="0" borderId="0" applyFont="0" applyFill="0" applyBorder="0" applyAlignment="0" applyProtection="0"/>
    <xf numFmtId="0" fontId="103" fillId="0" borderId="0"/>
    <xf numFmtId="9" fontId="11" fillId="0" borderId="0" applyFont="0" applyFill="0" applyBorder="0" applyAlignment="0" applyProtection="0"/>
    <xf numFmtId="174" fontId="114" fillId="0" borderId="0" applyFont="0" applyFill="0" applyBorder="0" applyAlignment="0" applyProtection="0">
      <protection locked="0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51" fillId="0" borderId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50" borderId="0" applyNumberFormat="0" applyBorder="0" applyAlignment="0" applyProtection="0"/>
    <xf numFmtId="0" fontId="102" fillId="51" borderId="0" applyNumberFormat="0" applyBorder="0" applyAlignment="0" applyProtection="0"/>
    <xf numFmtId="0" fontId="102" fillId="52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50" borderId="0" applyNumberFormat="0" applyBorder="0" applyAlignment="0" applyProtection="0"/>
    <xf numFmtId="0" fontId="102" fillId="51" borderId="0" applyNumberFormat="0" applyBorder="0" applyAlignment="0" applyProtection="0"/>
    <xf numFmtId="0" fontId="102" fillId="52" borderId="0" applyNumberFormat="0" applyBorder="0" applyAlignment="0" applyProtection="0"/>
    <xf numFmtId="0" fontId="102" fillId="53" borderId="0" applyNumberFormat="0" applyBorder="0" applyAlignment="0" applyProtection="0"/>
    <xf numFmtId="0" fontId="102" fillId="54" borderId="0" applyNumberFormat="0" applyBorder="0" applyAlignment="0" applyProtection="0"/>
    <xf numFmtId="0" fontId="102" fillId="55" borderId="0" applyNumberFormat="0" applyBorder="0" applyAlignment="0" applyProtection="0"/>
    <xf numFmtId="0" fontId="102" fillId="50" borderId="0" applyNumberFormat="0" applyBorder="0" applyAlignment="0" applyProtection="0"/>
    <xf numFmtId="0" fontId="102" fillId="53" borderId="0" applyNumberFormat="0" applyBorder="0" applyAlignment="0" applyProtection="0"/>
    <xf numFmtId="0" fontId="102" fillId="56" borderId="0" applyNumberFormat="0" applyBorder="0" applyAlignment="0" applyProtection="0"/>
    <xf numFmtId="0" fontId="102" fillId="53" borderId="0" applyNumberFormat="0" applyBorder="0" applyAlignment="0" applyProtection="0"/>
    <xf numFmtId="0" fontId="102" fillId="54" borderId="0" applyNumberFormat="0" applyBorder="0" applyAlignment="0" applyProtection="0"/>
    <xf numFmtId="0" fontId="102" fillId="55" borderId="0" applyNumberFormat="0" applyBorder="0" applyAlignment="0" applyProtection="0"/>
    <xf numFmtId="0" fontId="102" fillId="50" borderId="0" applyNumberFormat="0" applyBorder="0" applyAlignment="0" applyProtection="0"/>
    <xf numFmtId="0" fontId="102" fillId="53" borderId="0" applyNumberFormat="0" applyBorder="0" applyAlignment="0" applyProtection="0"/>
    <xf numFmtId="0" fontId="102" fillId="56" borderId="0" applyNumberFormat="0" applyBorder="0" applyAlignment="0" applyProtection="0"/>
    <xf numFmtId="0" fontId="116" fillId="57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6" fillId="57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/>
    </xf>
    <xf numFmtId="175" fontId="114" fillId="0" borderId="0" applyFont="0" applyFill="0" applyBorder="0" applyAlignment="0" applyProtection="0"/>
    <xf numFmtId="0" fontId="120" fillId="61" borderId="36" applyNumberFormat="0" applyAlignment="0" applyProtection="0"/>
    <xf numFmtId="0" fontId="121" fillId="0" borderId="37" applyNumberFormat="0" applyFill="0" applyAlignment="0" applyProtection="0"/>
    <xf numFmtId="0" fontId="122" fillId="0" borderId="38" applyNumberFormat="0" applyFill="0" applyAlignment="0" applyProtection="0"/>
    <xf numFmtId="0" fontId="123" fillId="0" borderId="0" applyNumberFormat="0" applyFill="0" applyBorder="0" applyProtection="0">
      <alignment horizontal="right"/>
    </xf>
    <xf numFmtId="3" fontId="51" fillId="0" borderId="0" applyFill="0" applyBorder="0" applyAlignment="0" applyProtection="0"/>
    <xf numFmtId="0" fontId="51" fillId="62" borderId="39" applyNumberFormat="0" applyFont="0" applyAlignment="0" applyProtection="0"/>
    <xf numFmtId="176" fontId="114" fillId="0" borderId="0" applyFont="0" applyFill="0" applyBorder="0" applyAlignment="0" applyProtection="0">
      <alignment horizontal="center"/>
      <protection locked="0"/>
    </xf>
    <xf numFmtId="177" fontId="114" fillId="0" borderId="40" applyFont="0" applyFill="0" applyBorder="0" applyAlignment="0"/>
    <xf numFmtId="178" fontId="51" fillId="0" borderId="0" applyFill="0" applyBorder="0" applyAlignment="0" applyProtection="0"/>
    <xf numFmtId="179" fontId="51" fillId="0" borderId="0" applyFont="0" applyFill="0" applyBorder="0" applyAlignment="0" applyProtection="0"/>
    <xf numFmtId="0" fontId="124" fillId="43" borderId="0" applyNumberFormat="0" applyFont="0" applyFill="0" applyBorder="0" applyProtection="0">
      <alignment horizontal="left"/>
    </xf>
    <xf numFmtId="0" fontId="125" fillId="0" borderId="0" applyFont="0" applyFill="0" applyBorder="0" applyAlignment="0" applyProtection="0"/>
    <xf numFmtId="38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180" fontId="126" fillId="0" borderId="0" applyFont="0" applyFill="0" applyBorder="0" applyAlignment="0" applyProtection="0"/>
    <xf numFmtId="181" fontId="86" fillId="0" borderId="41" applyFont="0" applyFill="0" applyBorder="0" applyAlignment="0" applyProtection="0">
      <alignment horizontal="center" vertical="center"/>
    </xf>
    <xf numFmtId="0" fontId="127" fillId="0" borderId="0" applyNumberFormat="0" applyFill="0" applyBorder="0" applyAlignment="0" applyProtection="0"/>
    <xf numFmtId="0" fontId="124" fillId="63" borderId="15">
      <alignment horizontal="left"/>
    </xf>
    <xf numFmtId="182" fontId="128" fillId="0" borderId="0" applyFont="0" applyFill="0" applyBorder="0" applyAlignment="0" applyProtection="0">
      <alignment horizontal="center"/>
    </xf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52" borderId="36" applyNumberFormat="0" applyAlignment="0" applyProtection="0"/>
    <xf numFmtId="0" fontId="132" fillId="0" borderId="0" applyNumberFormat="0" applyFill="0" applyBorder="0" applyProtection="0">
      <alignment horizontal="right"/>
    </xf>
    <xf numFmtId="183" fontId="51" fillId="0" borderId="0" applyFont="0" applyFill="0" applyBorder="0" applyAlignment="0" applyProtection="0"/>
    <xf numFmtId="3" fontId="133" fillId="0" borderId="0" applyFont="0" applyFill="0" applyBorder="0" applyAlignment="0" applyProtection="0"/>
    <xf numFmtId="2" fontId="51" fillId="0" borderId="0" applyFill="0" applyBorder="0" applyAlignment="0" applyProtection="0"/>
    <xf numFmtId="0" fontId="134" fillId="0" borderId="0" applyNumberFormat="0" applyFill="0" applyBorder="0" applyProtection="0">
      <alignment horizontal="right"/>
    </xf>
    <xf numFmtId="38" fontId="51" fillId="0" borderId="0"/>
    <xf numFmtId="3" fontId="135" fillId="0" borderId="15" applyNumberFormat="0" applyFill="0" applyBorder="0" applyAlignment="0" applyProtection="0">
      <alignment horizontal="center" vertical="center"/>
    </xf>
    <xf numFmtId="0" fontId="136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24" fillId="0" borderId="31"/>
    <xf numFmtId="0" fontId="139" fillId="48" borderId="0" applyNumberFormat="0" applyBorder="0" applyAlignment="0" applyProtection="0"/>
    <xf numFmtId="0" fontId="140" fillId="46" borderId="0">
      <alignment horizontal="left" wrapText="1" indent="2"/>
    </xf>
    <xf numFmtId="0" fontId="86" fillId="53" borderId="15">
      <alignment horizontal="left"/>
    </xf>
    <xf numFmtId="0" fontId="141" fillId="0" borderId="0" applyNumberFormat="0" applyBorder="0" applyAlignment="0"/>
    <xf numFmtId="2" fontId="141" fillId="42" borderId="42" applyNumberFormat="0" applyBorder="0" applyAlignment="0">
      <alignment horizontal="right" vertical="center" wrapText="1"/>
    </xf>
    <xf numFmtId="10" fontId="142" fillId="46" borderId="15" applyNumberFormat="0" applyFont="0" applyBorder="0" applyAlignment="0" applyProtection="0"/>
    <xf numFmtId="0" fontId="139" fillId="48" borderId="0" applyNumberFormat="0" applyBorder="0" applyAlignment="0" applyProtection="0"/>
    <xf numFmtId="1" fontId="143" fillId="64" borderId="43" applyNumberFormat="0" applyFont="0" applyBorder="0" applyAlignment="0">
      <alignment horizontal="right" vertical="center" wrapText="1"/>
    </xf>
    <xf numFmtId="0" fontId="144" fillId="0" borderId="0" applyNumberFormat="0" applyFill="0" applyBorder="0" applyProtection="0">
      <alignment horizontal="left"/>
    </xf>
    <xf numFmtId="0" fontId="145" fillId="65" borderId="44" applyNumberFormat="0" applyAlignment="0" applyProtection="0"/>
    <xf numFmtId="0" fontId="146" fillId="65" borderId="44" applyNumberFormat="0" applyAlignment="0" applyProtection="0"/>
    <xf numFmtId="184" fontId="147" fillId="66" borderId="0" applyNumberFormat="0" applyBorder="0">
      <alignment horizontal="left"/>
      <protection locked="0"/>
    </xf>
    <xf numFmtId="184" fontId="148" fillId="67" borderId="0" applyNumberFormat="0" applyBorder="0">
      <protection locked="0"/>
    </xf>
    <xf numFmtId="184" fontId="149" fillId="67" borderId="0" applyNumberFormat="0" applyBorder="0">
      <protection locked="0"/>
    </xf>
    <xf numFmtId="184" fontId="150" fillId="67" borderId="0" applyNumberFormat="0" applyBorder="0">
      <protection locked="0"/>
    </xf>
    <xf numFmtId="185" fontId="51" fillId="0" borderId="0" applyFont="0" applyFill="0" applyBorder="0" applyAlignment="0" applyProtection="0"/>
    <xf numFmtId="179" fontId="113" fillId="0" borderId="0" applyFont="0" applyFill="0" applyBorder="0" applyAlignment="0" applyProtection="0"/>
    <xf numFmtId="186" fontId="51" fillId="0" borderId="0" applyFont="0" applyFill="0" applyBorder="0" applyAlignment="0" applyProtection="0"/>
    <xf numFmtId="187" fontId="51" fillId="0" borderId="0" applyFont="0" applyFill="0" applyBorder="0" applyAlignment="0" applyProtection="0"/>
    <xf numFmtId="0" fontId="86" fillId="0" borderId="0"/>
    <xf numFmtId="187" fontId="51" fillId="0" borderId="0" applyFont="0" applyFill="0" applyBorder="0" applyAlignment="0" applyProtection="0"/>
    <xf numFmtId="174" fontId="151" fillId="0" borderId="45" applyFont="0" applyFill="0" applyBorder="0" applyAlignment="0" applyProtection="0">
      <alignment horizontal="center"/>
    </xf>
    <xf numFmtId="188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89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189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0" fontId="133" fillId="0" borderId="0" applyFont="0" applyFill="0" applyBorder="0" applyAlignment="0" applyProtection="0"/>
    <xf numFmtId="0" fontId="152" fillId="0" borderId="46" applyNumberFormat="0" applyFill="0" applyAlignment="0" applyProtection="0"/>
    <xf numFmtId="0" fontId="153" fillId="0" borderId="47" applyNumberFormat="0" applyFill="0" applyAlignment="0" applyProtection="0"/>
    <xf numFmtId="0" fontId="154" fillId="0" borderId="48" applyNumberFormat="0" applyFill="0" applyAlignment="0" applyProtection="0"/>
    <xf numFmtId="0" fontId="154" fillId="0" borderId="0" applyNumberFormat="0" applyFill="0" applyBorder="0" applyAlignment="0" applyProtection="0"/>
    <xf numFmtId="0" fontId="86" fillId="68" borderId="15">
      <alignment horizontal="left"/>
    </xf>
    <xf numFmtId="0" fontId="155" fillId="0" borderId="0" applyNumberFormat="0" applyFill="0" applyBorder="0" applyAlignment="0" applyProtection="0"/>
    <xf numFmtId="0" fontId="156" fillId="69" borderId="0" applyNumberFormat="0" applyBorder="0" applyAlignment="0" applyProtection="0"/>
    <xf numFmtId="0" fontId="157" fillId="69" borderId="0" applyNumberFormat="0" applyBorder="0" applyAlignment="0" applyProtection="0"/>
    <xf numFmtId="0" fontId="157" fillId="69" borderId="0" applyNumberFormat="0" applyBorder="0" applyAlignment="0" applyProtection="0"/>
    <xf numFmtId="37" fontId="158" fillId="0" borderId="0"/>
    <xf numFmtId="0" fontId="159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9" fillId="0" borderId="0"/>
    <xf numFmtId="0" fontId="51" fillId="0" borderId="0"/>
    <xf numFmtId="0" fontId="137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Protection="0">
      <alignment horizontal="left"/>
    </xf>
    <xf numFmtId="10" fontId="114" fillId="0" borderId="0" applyFont="0" applyFill="0" applyBorder="0" applyAlignment="0" applyProtection="0"/>
    <xf numFmtId="0" fontId="115" fillId="62" borderId="39" applyNumberFormat="0" applyFont="0" applyAlignment="0" applyProtection="0"/>
    <xf numFmtId="0" fontId="162" fillId="0" borderId="0" applyNumberFormat="0" applyFill="0" applyBorder="0" applyProtection="0">
      <alignment horizontal="right"/>
    </xf>
    <xf numFmtId="0" fontId="163" fillId="0" borderId="38" applyNumberFormat="0" applyFill="0" applyAlignment="0" applyProtection="0"/>
    <xf numFmtId="4" fontId="51" fillId="0" borderId="0" applyFont="0" applyFill="0" applyBorder="0" applyProtection="0">
      <alignment horizontal="right"/>
    </xf>
    <xf numFmtId="0" fontId="122" fillId="0" borderId="38" applyNumberFormat="0" applyFill="0" applyAlignment="0" applyProtection="0"/>
    <xf numFmtId="0" fontId="164" fillId="0" borderId="0"/>
    <xf numFmtId="191" fontId="165" fillId="0" borderId="35" applyFill="0" applyBorder="0" applyProtection="0">
      <alignment horizontal="center"/>
    </xf>
    <xf numFmtId="0" fontId="51" fillId="46" borderId="0" applyProtection="0"/>
    <xf numFmtId="4" fontId="144" fillId="44" borderId="49" applyNumberFormat="0" applyProtection="0">
      <alignment vertical="center"/>
    </xf>
    <xf numFmtId="4" fontId="166" fillId="44" borderId="49" applyNumberFormat="0" applyProtection="0">
      <alignment vertical="center"/>
    </xf>
    <xf numFmtId="4" fontId="144" fillId="44" borderId="49" applyNumberFormat="0" applyProtection="0">
      <alignment horizontal="left" vertical="center" indent="1"/>
    </xf>
    <xf numFmtId="4" fontId="144" fillId="44" borderId="49" applyNumberFormat="0" applyProtection="0">
      <alignment horizontal="left" vertical="center" indent="1"/>
    </xf>
    <xf numFmtId="4" fontId="144" fillId="70" borderId="49" applyNumberFormat="0" applyProtection="0">
      <alignment horizontal="right" vertical="center"/>
    </xf>
    <xf numFmtId="4" fontId="144" fillId="71" borderId="49" applyNumberFormat="0" applyProtection="0">
      <alignment horizontal="right" vertical="center"/>
    </xf>
    <xf numFmtId="4" fontId="144" fillId="72" borderId="49" applyNumberFormat="0" applyProtection="0">
      <alignment horizontal="right" vertical="center"/>
    </xf>
    <xf numFmtId="4" fontId="144" fillId="73" borderId="49" applyNumberFormat="0" applyProtection="0">
      <alignment horizontal="right" vertical="center"/>
    </xf>
    <xf numFmtId="4" fontId="144" fillId="74" borderId="49" applyNumberFormat="0" applyProtection="0">
      <alignment horizontal="right" vertical="center"/>
    </xf>
    <xf numFmtId="4" fontId="144" fillId="75" borderId="49" applyNumberFormat="0" applyProtection="0">
      <alignment horizontal="right" vertical="center"/>
    </xf>
    <xf numFmtId="4" fontId="144" fillId="76" borderId="49" applyNumberFormat="0" applyProtection="0">
      <alignment horizontal="right" vertical="center"/>
    </xf>
    <xf numFmtId="4" fontId="144" fillId="45" borderId="49" applyNumberFormat="0" applyProtection="0">
      <alignment horizontal="right" vertical="center"/>
    </xf>
    <xf numFmtId="4" fontId="144" fillId="77" borderId="49" applyNumberFormat="0" applyProtection="0">
      <alignment horizontal="right" vertical="center"/>
    </xf>
    <xf numFmtId="4" fontId="167" fillId="78" borderId="49" applyNumberFormat="0" applyProtection="0">
      <alignment horizontal="left" vertical="center" indent="1"/>
    </xf>
    <xf numFmtId="4" fontId="144" fillId="79" borderId="50" applyNumberFormat="0" applyProtection="0">
      <alignment horizontal="left" vertical="center" indent="1"/>
    </xf>
    <xf numFmtId="4" fontId="168" fillId="80" borderId="0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4" fontId="115" fillId="79" borderId="49" applyNumberFormat="0" applyProtection="0">
      <alignment horizontal="left" vertical="center" indent="1"/>
    </xf>
    <xf numFmtId="4" fontId="115" fillId="82" borderId="49" applyNumberFormat="0" applyProtection="0">
      <alignment horizontal="left" vertical="center" indent="1"/>
    </xf>
    <xf numFmtId="0" fontId="51" fillId="82" borderId="49" applyNumberFormat="0" applyProtection="0">
      <alignment horizontal="left" vertical="center" indent="1"/>
    </xf>
    <xf numFmtId="0" fontId="51" fillId="82" borderId="49" applyNumberFormat="0" applyProtection="0">
      <alignment horizontal="left" vertical="center" indent="1"/>
    </xf>
    <xf numFmtId="0" fontId="51" fillId="83" borderId="49" applyNumberFormat="0" applyProtection="0">
      <alignment horizontal="left" vertical="center" indent="1"/>
    </xf>
    <xf numFmtId="0" fontId="51" fillId="83" borderId="49" applyNumberFormat="0" applyProtection="0">
      <alignment horizontal="left" vertical="center" indent="1"/>
    </xf>
    <xf numFmtId="0" fontId="51" fillId="43" borderId="49" applyNumberFormat="0" applyProtection="0">
      <alignment horizontal="left" vertical="center" indent="1"/>
    </xf>
    <xf numFmtId="0" fontId="51" fillId="43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4" fontId="144" fillId="46" borderId="49" applyNumberFormat="0" applyProtection="0">
      <alignment vertical="center"/>
    </xf>
    <xf numFmtId="4" fontId="166" fillId="46" borderId="49" applyNumberFormat="0" applyProtection="0">
      <alignment vertical="center"/>
    </xf>
    <xf numFmtId="4" fontId="144" fillId="46" borderId="49" applyNumberFormat="0" applyProtection="0">
      <alignment horizontal="left" vertical="center" indent="1"/>
    </xf>
    <xf numFmtId="4" fontId="144" fillId="46" borderId="49" applyNumberFormat="0" applyProtection="0">
      <alignment horizontal="left" vertical="center" indent="1"/>
    </xf>
    <xf numFmtId="4" fontId="144" fillId="79" borderId="49" applyNumberFormat="0" applyProtection="0">
      <alignment horizontal="right" vertical="center"/>
    </xf>
    <xf numFmtId="4" fontId="166" fillId="79" borderId="49" applyNumberFormat="0" applyProtection="0">
      <alignment horizontal="right" vertical="center"/>
    </xf>
    <xf numFmtId="0" fontId="51" fillId="81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0" fontId="169" fillId="0" borderId="0"/>
    <xf numFmtId="4" fontId="127" fillId="79" borderId="49" applyNumberFormat="0" applyProtection="0">
      <alignment horizontal="right" vertical="center"/>
    </xf>
    <xf numFmtId="0" fontId="170" fillId="49" borderId="0" applyNumberFormat="0" applyBorder="0" applyAlignment="0" applyProtection="0"/>
    <xf numFmtId="41" fontId="51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171" fillId="61" borderId="49" applyNumberFormat="0" applyAlignment="0" applyProtection="0"/>
    <xf numFmtId="0" fontId="170" fillId="49" borderId="0" applyNumberFormat="0" applyBorder="0" applyAlignment="0" applyProtection="0"/>
    <xf numFmtId="4" fontId="51" fillId="0" borderId="0" applyFont="0" applyProtection="0"/>
    <xf numFmtId="4" fontId="51" fillId="0" borderId="0" applyFont="0"/>
    <xf numFmtId="0" fontId="86" fillId="0" borderId="0"/>
    <xf numFmtId="0" fontId="172" fillId="46" borderId="0">
      <alignment wrapText="1"/>
    </xf>
    <xf numFmtId="0" fontId="118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184" fontId="144" fillId="67" borderId="0" applyNumberFormat="0" applyBorder="0">
      <alignment horizontal="center"/>
      <protection locked="0"/>
    </xf>
    <xf numFmtId="184" fontId="174" fillId="67" borderId="0" applyNumberFormat="0" applyBorder="0">
      <alignment horizontal="center"/>
      <protection locked="0"/>
    </xf>
    <xf numFmtId="184" fontId="144" fillId="84" borderId="0" applyNumberFormat="0" applyBorder="0">
      <alignment horizontal="left"/>
      <protection locked="0"/>
    </xf>
    <xf numFmtId="184" fontId="175" fillId="67" borderId="0" applyNumberFormat="0" applyBorder="0">
      <alignment horizontal="left"/>
      <protection locked="0"/>
    </xf>
    <xf numFmtId="0" fontId="176" fillId="0" borderId="0" applyNumberFormat="0">
      <alignment horizontal="right"/>
    </xf>
    <xf numFmtId="0" fontId="177" fillId="0" borderId="46" applyNumberFormat="0" applyFill="0" applyAlignment="0" applyProtection="0"/>
    <xf numFmtId="0" fontId="178" fillId="0" borderId="47" applyNumberFormat="0" applyFill="0" applyAlignment="0" applyProtection="0"/>
    <xf numFmtId="0" fontId="179" fillId="0" borderId="48" applyNumberFormat="0" applyFill="0" applyAlignment="0" applyProtection="0"/>
    <xf numFmtId="0" fontId="179" fillId="0" borderId="0" applyNumberFormat="0" applyFill="0" applyBorder="0" applyAlignment="0" applyProtection="0"/>
    <xf numFmtId="1" fontId="180" fillId="0" borderId="0" applyNumberFormat="0" applyFill="0" applyBorder="0" applyAlignment="0"/>
    <xf numFmtId="1" fontId="176" fillId="0" borderId="0" applyNumberFormat="0" applyFill="0" applyBorder="0" applyAlignment="0"/>
    <xf numFmtId="1" fontId="181" fillId="46" borderId="51" applyNumberFormat="0" applyBorder="0">
      <alignment horizontal="centerContinuous" vertical="top" wrapText="1"/>
    </xf>
    <xf numFmtId="0" fontId="182" fillId="0" borderId="0" applyNumberFormat="0" applyFill="0" applyBorder="0" applyAlignment="0" applyProtection="0"/>
    <xf numFmtId="2" fontId="141" fillId="71" borderId="42" applyNumberFormat="0" applyBorder="0" applyAlignment="0">
      <alignment horizontal="right" vertical="center" wrapText="1"/>
      <protection locked="0"/>
    </xf>
    <xf numFmtId="193" fontId="51" fillId="0" borderId="0" applyFont="0" applyFill="0" applyBorder="0" applyAlignment="0" applyProtection="0"/>
    <xf numFmtId="194" fontId="113" fillId="0" borderId="0" applyFont="0" applyFill="0" applyBorder="0" applyAlignment="0" applyProtection="0"/>
    <xf numFmtId="0" fontId="183" fillId="0" borderId="0" applyNumberFormat="0" applyFill="0" applyBorder="0" applyAlignment="0" applyProtection="0"/>
    <xf numFmtId="0" fontId="146" fillId="65" borderId="44" applyNumberFormat="0" applyAlignment="0" applyProtection="0"/>
    <xf numFmtId="0" fontId="184" fillId="85" borderId="52" applyNumberFormat="0" applyAlignment="0" applyProtection="0"/>
    <xf numFmtId="43" fontId="51" fillId="0" borderId="0" applyFont="0" applyFill="0" applyBorder="0" applyAlignment="0" applyProtection="0"/>
    <xf numFmtId="2" fontId="133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85" fillId="0" borderId="0" applyNumberFormat="0" applyFill="0" applyBorder="0" applyProtection="0">
      <alignment horizontal="right"/>
    </xf>
    <xf numFmtId="0" fontId="186" fillId="52" borderId="36" applyNumberFormat="0" applyAlignment="0" applyProtection="0"/>
    <xf numFmtId="0" fontId="187" fillId="61" borderId="36" applyNumberFormat="0" applyAlignment="0" applyProtection="0"/>
    <xf numFmtId="0" fontId="188" fillId="61" borderId="49" applyNumberFormat="0" applyAlignment="0" applyProtection="0"/>
    <xf numFmtId="0" fontId="173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95" fontId="126" fillId="0" borderId="0" applyFont="0" applyFill="0" applyBorder="0" applyAlignment="0" applyProtection="0"/>
    <xf numFmtId="196" fontId="126" fillId="0" borderId="0" applyFont="0" applyFill="0" applyBorder="0" applyAlignment="0" applyProtection="0"/>
    <xf numFmtId="197" fontId="105" fillId="0" borderId="0" applyFont="0" applyFill="0" applyBorder="0" applyAlignment="0" applyProtection="0"/>
    <xf numFmtId="198" fontId="105" fillId="0" borderId="0" applyFont="0" applyFill="0" applyBorder="0" applyAlignment="0" applyProtection="0"/>
    <xf numFmtId="199" fontId="86" fillId="0" borderId="0">
      <alignment vertical="center"/>
    </xf>
    <xf numFmtId="0" fontId="190" fillId="48" borderId="0" applyNumberFormat="0" applyBorder="0" applyAlignment="0" applyProtection="0"/>
    <xf numFmtId="0" fontId="116" fillId="86" borderId="0" applyNumberFormat="0" applyBorder="0" applyAlignment="0" applyProtection="0"/>
    <xf numFmtId="0" fontId="116" fillId="87" borderId="0" applyNumberFormat="0" applyBorder="0" applyAlignment="0" applyProtection="0"/>
    <xf numFmtId="0" fontId="116" fillId="88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89" borderId="0" applyNumberFormat="0" applyBorder="0" applyAlignment="0" applyProtection="0"/>
    <xf numFmtId="0" fontId="117" fillId="86" borderId="0" applyNumberFormat="0" applyBorder="0" applyAlignment="0" applyProtection="0"/>
    <xf numFmtId="0" fontId="117" fillId="87" borderId="0" applyNumberFormat="0" applyBorder="0" applyAlignment="0" applyProtection="0"/>
    <xf numFmtId="0" fontId="117" fillId="88" borderId="0" applyNumberFormat="0" applyBorder="0" applyAlignment="0" applyProtection="0"/>
    <xf numFmtId="0" fontId="117" fillId="58" borderId="0" applyNumberFormat="0" applyBorder="0" applyAlignment="0" applyProtection="0"/>
    <xf numFmtId="0" fontId="117" fillId="59" borderId="0" applyNumberFormat="0" applyBorder="0" applyAlignment="0" applyProtection="0"/>
    <xf numFmtId="0" fontId="117" fillId="89" borderId="0" applyNumberFormat="0" applyBorder="0" applyAlignment="0" applyProtection="0"/>
    <xf numFmtId="185" fontId="191" fillId="0" borderId="0" applyFont="0" applyFill="0" applyBorder="0" applyAlignment="0" applyProtection="0"/>
    <xf numFmtId="179" fontId="191" fillId="0" borderId="0" applyFont="0" applyFill="0" applyBorder="0" applyAlignment="0" applyProtection="0"/>
    <xf numFmtId="192" fontId="192" fillId="0" borderId="0" applyFont="0" applyFill="0" applyBorder="0" applyAlignment="0" applyProtection="0"/>
    <xf numFmtId="41" fontId="192" fillId="0" borderId="0" applyFont="0" applyFill="0" applyBorder="0" applyAlignment="0" applyProtection="0"/>
    <xf numFmtId="200" fontId="192" fillId="0" borderId="0" applyFont="0" applyFill="0" applyBorder="0" applyAlignment="0" applyProtection="0"/>
    <xf numFmtId="0" fontId="191" fillId="0" borderId="0"/>
    <xf numFmtId="0" fontId="192" fillId="0" borderId="0"/>
    <xf numFmtId="38" fontId="193" fillId="0" borderId="0" applyFont="0" applyFill="0" applyBorder="0" applyAlignment="0" applyProtection="0"/>
    <xf numFmtId="0" fontId="194" fillId="0" borderId="0">
      <alignment vertical="center"/>
    </xf>
    <xf numFmtId="0" fontId="75" fillId="0" borderId="0"/>
    <xf numFmtId="0" fontId="51" fillId="0" borderId="0"/>
    <xf numFmtId="168" fontId="51" fillId="0" borderId="0" applyFont="0" applyFill="0" applyBorder="0" applyAlignment="0" applyProtection="0"/>
    <xf numFmtId="201" fontId="51" fillId="0" borderId="0" applyFont="0" applyFill="0" applyBorder="0" applyAlignment="0" applyProtection="0"/>
    <xf numFmtId="201" fontId="51" fillId="0" borderId="0" applyFont="0" applyFill="0" applyBorder="0" applyAlignment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49" fillId="0" borderId="0"/>
    <xf numFmtId="0" fontId="51" fillId="0" borderId="0"/>
    <xf numFmtId="0" fontId="19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9" fontId="49" fillId="0" borderId="0" applyFont="0" applyFill="0" applyBorder="0" applyAlignment="0" applyProtection="0"/>
    <xf numFmtId="0" fontId="20" fillId="0" borderId="2">
      <alignment horizontal="left" vertical="center" wrapText="1"/>
    </xf>
    <xf numFmtId="0" fontId="103" fillId="0" borderId="0"/>
    <xf numFmtId="0" fontId="99" fillId="0" borderId="0"/>
    <xf numFmtId="43" fontId="100" fillId="0" borderId="0" applyFont="0" applyFill="0" applyBorder="0" applyAlignment="0" applyProtection="0"/>
    <xf numFmtId="0" fontId="100" fillId="0" borderId="0"/>
    <xf numFmtId="43" fontId="196" fillId="0" borderId="0" applyFont="0" applyFill="0" applyBorder="0" applyAlignment="0" applyProtection="0"/>
    <xf numFmtId="0" fontId="51" fillId="0" borderId="0"/>
    <xf numFmtId="43" fontId="197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00" fillId="0" borderId="0" applyFont="0" applyFill="0" applyBorder="0" applyAlignment="0" applyProtection="0"/>
    <xf numFmtId="0" fontId="197" fillId="0" borderId="0"/>
    <xf numFmtId="0" fontId="196" fillId="0" borderId="0"/>
    <xf numFmtId="0" fontId="99" fillId="0" borderId="0"/>
    <xf numFmtId="0" fontId="51" fillId="0" borderId="0"/>
    <xf numFmtId="0" fontId="11" fillId="0" borderId="0"/>
    <xf numFmtId="0" fontId="100" fillId="0" borderId="0"/>
    <xf numFmtId="9" fontId="197" fillId="0" borderId="0" applyFont="0" applyFill="0" applyBorder="0" applyAlignment="0" applyProtection="0"/>
    <xf numFmtId="9" fontId="196" fillId="0" borderId="0" applyFont="0" applyFill="0" applyBorder="0" applyAlignment="0" applyProtection="0"/>
    <xf numFmtId="9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0"/>
    <xf numFmtId="0" fontId="11" fillId="0" borderId="0"/>
    <xf numFmtId="0" fontId="51" fillId="0" borderId="0"/>
    <xf numFmtId="9" fontId="11" fillId="0" borderId="0" applyFont="0" applyFill="0" applyBorder="0" applyAlignment="0" applyProtection="0"/>
    <xf numFmtId="0" fontId="197" fillId="0" borderId="0"/>
    <xf numFmtId="0" fontId="195" fillId="0" borderId="0"/>
    <xf numFmtId="43" fontId="86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9" fillId="0" borderId="0"/>
    <xf numFmtId="0" fontId="109" fillId="0" borderId="0"/>
    <xf numFmtId="9" fontId="99" fillId="0" borderId="0" applyFont="0" applyFill="0" applyBorder="0" applyAlignment="0" applyProtection="0"/>
    <xf numFmtId="0" fontId="100" fillId="0" borderId="0"/>
    <xf numFmtId="0" fontId="100" fillId="23" borderId="26" applyNumberFormat="0" applyFont="0" applyAlignment="0" applyProtection="0"/>
    <xf numFmtId="9" fontId="11" fillId="0" borderId="0" applyFont="0" applyFill="0" applyBorder="0" applyAlignment="0" applyProtection="0"/>
    <xf numFmtId="0" fontId="11" fillId="0" borderId="0"/>
    <xf numFmtId="202" fontId="5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50" borderId="0" applyNumberFormat="0" applyBorder="0" applyAlignment="0" applyProtection="0"/>
    <xf numFmtId="0" fontId="100" fillId="51" borderId="0" applyNumberFormat="0" applyBorder="0" applyAlignment="0" applyProtection="0"/>
    <xf numFmtId="0" fontId="100" fillId="52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3" borderId="0" applyNumberFormat="0" applyBorder="0" applyAlignment="0" applyProtection="0"/>
    <xf numFmtId="0" fontId="100" fillId="54" borderId="0" applyNumberFormat="0" applyBorder="0" applyAlignment="0" applyProtection="0"/>
    <xf numFmtId="0" fontId="100" fillId="55" borderId="0" applyNumberFormat="0" applyBorder="0" applyAlignment="0" applyProtection="0"/>
    <xf numFmtId="0" fontId="100" fillId="50" borderId="0" applyNumberFormat="0" applyBorder="0" applyAlignment="0" applyProtection="0"/>
    <xf numFmtId="0" fontId="100" fillId="53" borderId="0" applyNumberFormat="0" applyBorder="0" applyAlignment="0" applyProtection="0"/>
    <xf numFmtId="0" fontId="100" fillId="56" borderId="0" applyNumberFormat="0" applyBorder="0" applyAlignment="0" applyProtection="0"/>
    <xf numFmtId="0" fontId="198" fillId="57" borderId="0" applyNumberFormat="0" applyBorder="0" applyAlignment="0" applyProtection="0"/>
    <xf numFmtId="0" fontId="198" fillId="54" borderId="0" applyNumberFormat="0" applyBorder="0" applyAlignment="0" applyProtection="0"/>
    <xf numFmtId="0" fontId="198" fillId="55" borderId="0" applyNumberFormat="0" applyBorder="0" applyAlignment="0" applyProtection="0"/>
    <xf numFmtId="0" fontId="198" fillId="58" borderId="0" applyNumberFormat="0" applyBorder="0" applyAlignment="0" applyProtection="0"/>
    <xf numFmtId="0" fontId="198" fillId="59" borderId="0" applyNumberFormat="0" applyBorder="0" applyAlignment="0" applyProtection="0"/>
    <xf numFmtId="0" fontId="198" fillId="60" borderId="0" applyNumberFormat="0" applyBorder="0" applyAlignment="0" applyProtection="0"/>
    <xf numFmtId="0" fontId="198" fillId="57" borderId="0" applyNumberFormat="0" applyBorder="0" applyAlignment="0" applyProtection="0"/>
    <xf numFmtId="0" fontId="198" fillId="54" borderId="0" applyNumberFormat="0" applyBorder="0" applyAlignment="0" applyProtection="0"/>
    <xf numFmtId="0" fontId="198" fillId="55" borderId="0" applyNumberFormat="0" applyBorder="0" applyAlignment="0" applyProtection="0"/>
    <xf numFmtId="0" fontId="198" fillId="58" borderId="0" applyNumberFormat="0" applyBorder="0" applyAlignment="0" applyProtection="0"/>
    <xf numFmtId="0" fontId="198" fillId="59" borderId="0" applyNumberFormat="0" applyBorder="0" applyAlignment="0" applyProtection="0"/>
    <xf numFmtId="0" fontId="198" fillId="60" borderId="0" applyNumberFormat="0" applyBorder="0" applyAlignment="0" applyProtection="0"/>
    <xf numFmtId="0" fontId="116" fillId="86" borderId="0" applyNumberFormat="0" applyBorder="0" applyAlignment="0" applyProtection="0"/>
    <xf numFmtId="0" fontId="116" fillId="87" borderId="0" applyNumberFormat="0" applyBorder="0" applyAlignment="0" applyProtection="0"/>
    <xf numFmtId="0" fontId="116" fillId="88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89" borderId="0" applyNumberFormat="0" applyBorder="0" applyAlignment="0" applyProtection="0"/>
    <xf numFmtId="0" fontId="199" fillId="48" borderId="0" applyNumberFormat="0" applyBorder="0" applyAlignment="0" applyProtection="0"/>
    <xf numFmtId="0" fontId="200" fillId="61" borderId="36" applyNumberFormat="0" applyAlignment="0" applyProtection="0"/>
    <xf numFmtId="0" fontId="112" fillId="0" borderId="37" applyNumberFormat="0" applyFill="0" applyAlignment="0" applyProtection="0"/>
    <xf numFmtId="203" fontId="201" fillId="0" borderId="0" applyFont="0" applyFill="0" applyBorder="0" applyAlignment="0" applyProtection="0"/>
    <xf numFmtId="168" fontId="11" fillId="0" borderId="0" applyFont="0" applyFill="0" applyBorder="0" applyAlignment="0" applyProtection="0"/>
    <xf numFmtId="192" fontId="201" fillId="0" borderId="0" applyFont="0" applyFill="0" applyBorder="0" applyAlignment="0" applyProtection="0"/>
    <xf numFmtId="192" fontId="201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100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51" fillId="0" borderId="0" applyFont="0" applyFill="0" applyBorder="0" applyAlignment="0" applyProtection="0"/>
    <xf numFmtId="185" fontId="86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top"/>
    </xf>
    <xf numFmtId="168" fontId="51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202" fillId="0" borderId="0" applyNumberFormat="0" applyFill="0" applyBorder="0" applyAlignment="0" applyProtection="0"/>
    <xf numFmtId="0" fontId="203" fillId="49" borderId="0" applyNumberFormat="0" applyBorder="0" applyAlignment="0" applyProtection="0"/>
    <xf numFmtId="204" fontId="204" fillId="46" borderId="0">
      <alignment horizontal="left" vertical="top"/>
    </xf>
    <xf numFmtId="0" fontId="205" fillId="0" borderId="46" applyNumberFormat="0" applyFill="0" applyAlignment="0" applyProtection="0"/>
    <xf numFmtId="0" fontId="206" fillId="0" borderId="47" applyNumberFormat="0" applyFill="0" applyAlignment="0" applyProtection="0"/>
    <xf numFmtId="0" fontId="207" fillId="0" borderId="48" applyNumberFormat="0" applyFill="0" applyAlignment="0" applyProtection="0"/>
    <xf numFmtId="0" fontId="207" fillId="0" borderId="0" applyNumberFormat="0" applyFill="0" applyBorder="0" applyAlignment="0" applyProtection="0"/>
    <xf numFmtId="0" fontId="208" fillId="65" borderId="44" applyNumberFormat="0" applyAlignment="0" applyProtection="0"/>
    <xf numFmtId="0" fontId="199" fillId="48" borderId="0" applyNumberFormat="0" applyBorder="0" applyAlignment="0" applyProtection="0"/>
    <xf numFmtId="0" fontId="209" fillId="52" borderId="36" applyNumberFormat="0" applyAlignment="0" applyProtection="0"/>
    <xf numFmtId="0" fontId="208" fillId="65" borderId="44" applyNumberFormat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210" fillId="0" borderId="38" applyNumberFormat="0" applyFill="0" applyAlignment="0" applyProtection="0"/>
    <xf numFmtId="38" fontId="87" fillId="0" borderId="0" applyFont="0" applyFill="0" applyBorder="0" applyAlignment="0" applyProtection="0"/>
    <xf numFmtId="0" fontId="182" fillId="0" borderId="0" applyNumberFormat="0" applyFill="0" applyBorder="0" applyAlignment="0" applyProtection="0"/>
    <xf numFmtId="0" fontId="211" fillId="69" borderId="0" applyNumberFormat="0" applyBorder="0" applyAlignment="0" applyProtection="0"/>
    <xf numFmtId="0" fontId="211" fillId="69" borderId="0" applyNumberFormat="0" applyBorder="0" applyAlignment="0" applyProtection="0"/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115" fillId="0" borderId="0"/>
    <xf numFmtId="0" fontId="201" fillId="0" borderId="0"/>
    <xf numFmtId="0" fontId="201" fillId="0" borderId="0"/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115" fillId="0" borderId="0"/>
    <xf numFmtId="0" fontId="115" fillId="0" borderId="0"/>
    <xf numFmtId="0" fontId="19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01" fillId="62" borderId="39" applyNumberFormat="0" applyFont="0" applyAlignment="0" applyProtection="0"/>
    <xf numFmtId="0" fontId="212" fillId="61" borderId="49" applyNumberFormat="0" applyAlignment="0" applyProtection="0"/>
    <xf numFmtId="9" fontId="10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210" fillId="0" borderId="38" applyNumberFormat="0" applyFill="0" applyAlignment="0" applyProtection="0"/>
    <xf numFmtId="0" fontId="203" fillId="49" borderId="0" applyNumberFormat="0" applyBorder="0" applyAlignment="0" applyProtection="0"/>
    <xf numFmtId="0" fontId="2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21" fillId="0" borderId="37" applyNumberFormat="0" applyFill="0" applyAlignment="0" applyProtection="0"/>
    <xf numFmtId="0" fontId="20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98" fillId="86" borderId="0" applyNumberFormat="0" applyBorder="0" applyAlignment="0" applyProtection="0"/>
    <xf numFmtId="0" fontId="198" fillId="87" borderId="0" applyNumberFormat="0" applyBorder="0" applyAlignment="0" applyProtection="0"/>
    <xf numFmtId="0" fontId="198" fillId="88" borderId="0" applyNumberFormat="0" applyBorder="0" applyAlignment="0" applyProtection="0"/>
    <xf numFmtId="0" fontId="198" fillId="58" borderId="0" applyNumberFormat="0" applyBorder="0" applyAlignment="0" applyProtection="0"/>
    <xf numFmtId="0" fontId="198" fillId="59" borderId="0" applyNumberFormat="0" applyBorder="0" applyAlignment="0" applyProtection="0"/>
    <xf numFmtId="0" fontId="198" fillId="89" borderId="0" applyNumberFormat="0" applyBorder="0" applyAlignment="0" applyProtection="0"/>
    <xf numFmtId="0" fontId="115" fillId="0" borderId="0">
      <alignment vertical="top"/>
    </xf>
    <xf numFmtId="43" fontId="11" fillId="0" borderId="0" applyFont="0" applyFill="0" applyBorder="0" applyAlignment="0" applyProtection="0"/>
    <xf numFmtId="0" fontId="115" fillId="0" borderId="0">
      <alignment vertical="top"/>
    </xf>
    <xf numFmtId="9" fontId="11" fillId="0" borderId="0" applyFont="0" applyFill="0" applyBorder="0" applyAlignment="0" applyProtection="0"/>
    <xf numFmtId="0" fontId="11" fillId="0" borderId="0"/>
    <xf numFmtId="0" fontId="115" fillId="0" borderId="0">
      <alignment vertical="top"/>
    </xf>
    <xf numFmtId="0" fontId="115" fillId="0" borderId="0">
      <alignment vertical="top"/>
    </xf>
    <xf numFmtId="0" fontId="115" fillId="0" borderId="0">
      <alignment vertical="top"/>
    </xf>
    <xf numFmtId="0" fontId="5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43" fontId="51" fillId="0" borderId="0" applyFont="0" applyFill="0" applyBorder="0" applyAlignment="0" applyProtection="0"/>
    <xf numFmtId="0" fontId="51" fillId="0" borderId="0"/>
    <xf numFmtId="0" fontId="11" fillId="0" borderId="0"/>
    <xf numFmtId="0" fontId="100" fillId="0" borderId="0"/>
    <xf numFmtId="43" fontId="11" fillId="0" borderId="0" applyFont="0" applyFill="0" applyBorder="0" applyAlignment="0" applyProtection="0"/>
    <xf numFmtId="43" fontId="100" fillId="0" borderId="0" applyFont="0" applyFill="0" applyBorder="0" applyAlignment="0" applyProtection="0"/>
    <xf numFmtId="3" fontId="101" fillId="0" borderId="0">
      <alignment vertical="top"/>
    </xf>
    <xf numFmtId="0" fontId="1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1" fillId="0" borderId="0">
      <alignment vertical="top"/>
    </xf>
    <xf numFmtId="168" fontId="11" fillId="0" borderId="0" applyFont="0" applyFill="0" applyBorder="0" applyAlignment="0" applyProtection="0"/>
    <xf numFmtId="170" fontId="103" fillId="0" borderId="0"/>
    <xf numFmtId="0" fontId="105" fillId="0" borderId="0"/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14" fillId="0" borderId="0"/>
    <xf numFmtId="0" fontId="215" fillId="0" borderId="0" applyNumberFormat="0" applyFill="0" applyBorder="0" applyAlignment="0" applyProtection="0"/>
    <xf numFmtId="0" fontId="100" fillId="0" borderId="0"/>
    <xf numFmtId="0" fontId="105" fillId="0" borderId="0"/>
    <xf numFmtId="0" fontId="101" fillId="0" borderId="0">
      <alignment vertical="top"/>
    </xf>
    <xf numFmtId="0" fontId="51" fillId="0" borderId="0"/>
    <xf numFmtId="0" fontId="105" fillId="0" borderId="0"/>
    <xf numFmtId="0" fontId="10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5" fillId="0" borderId="0"/>
    <xf numFmtId="0" fontId="136" fillId="0" borderId="0" applyNumberFormat="0" applyFill="0" applyBorder="0" applyAlignment="0" applyProtection="0">
      <alignment vertical="top"/>
      <protection locked="0"/>
    </xf>
    <xf numFmtId="0" fontId="99" fillId="0" borderId="0"/>
    <xf numFmtId="0" fontId="51" fillId="0" borderId="0"/>
    <xf numFmtId="0" fontId="19" fillId="0" borderId="0"/>
    <xf numFmtId="0" fontId="11" fillId="0" borderId="0"/>
    <xf numFmtId="0" fontId="99" fillId="0" borderId="0"/>
    <xf numFmtId="0" fontId="216" fillId="0" borderId="0" applyNumberFormat="0" applyFill="0" applyBorder="0" applyAlignment="0" applyProtection="0"/>
    <xf numFmtId="0" fontId="105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0" fillId="0" borderId="0" applyFont="0" applyFill="0" applyBorder="0" applyAlignment="0" applyProtection="0"/>
    <xf numFmtId="0" fontId="110" fillId="0" borderId="0"/>
    <xf numFmtId="0" fontId="89" fillId="0" borderId="0"/>
    <xf numFmtId="168" fontId="11" fillId="0" borderId="0" applyFont="0" applyFill="0" applyBorder="0" applyAlignment="0" applyProtection="0"/>
    <xf numFmtId="0" fontId="105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00" fillId="0" borderId="0" applyFont="0" applyFill="0" applyBorder="0" applyAlignment="0" applyProtection="0"/>
    <xf numFmtId="168" fontId="100" fillId="0" borderId="0" applyFont="0" applyFill="0" applyBorder="0" applyAlignment="0" applyProtection="0"/>
    <xf numFmtId="173" fontId="103" fillId="0" borderId="0"/>
    <xf numFmtId="168" fontId="11" fillId="0" borderId="0" applyFont="0" applyFill="0" applyBorder="0" applyAlignment="0" applyProtection="0"/>
    <xf numFmtId="0" fontId="111" fillId="0" borderId="0"/>
    <xf numFmtId="168" fontId="11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8" fillId="0" borderId="0">
      <alignment vertical="top"/>
    </xf>
    <xf numFmtId="0" fontId="51" fillId="0" borderId="0"/>
    <xf numFmtId="0" fontId="105" fillId="0" borderId="0"/>
    <xf numFmtId="0" fontId="98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0" fontId="103" fillId="0" borderId="0"/>
    <xf numFmtId="0" fontId="100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173" fontId="103" fillId="0" borderId="0"/>
    <xf numFmtId="0" fontId="105" fillId="0" borderId="0"/>
    <xf numFmtId="43" fontId="11" fillId="0" borderId="0" applyFont="0" applyFill="0" applyBorder="0" applyAlignment="0" applyProtection="0"/>
    <xf numFmtId="0" fontId="109" fillId="0" borderId="0"/>
    <xf numFmtId="0" fontId="51" fillId="0" borderId="0"/>
    <xf numFmtId="168" fontId="11" fillId="0" borderId="0" applyFont="0" applyFill="0" applyBorder="0" applyAlignment="0" applyProtection="0"/>
    <xf numFmtId="0" fontId="75" fillId="0" borderId="0"/>
    <xf numFmtId="0" fontId="81" fillId="0" borderId="0"/>
    <xf numFmtId="0" fontId="109" fillId="0" borderId="0"/>
    <xf numFmtId="0" fontId="105" fillId="0" borderId="0"/>
    <xf numFmtId="0" fontId="105" fillId="0" borderId="0"/>
    <xf numFmtId="0" fontId="105" fillId="0" borderId="0"/>
    <xf numFmtId="9" fontId="100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9" fontId="99" fillId="0" borderId="0" applyFont="0" applyFill="0" applyBorder="0" applyAlignment="0" applyProtection="0"/>
    <xf numFmtId="0" fontId="51" fillId="0" borderId="0" applyNumberForma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9" fontId="100" fillId="0" borderId="0" applyFont="0" applyFill="0" applyBorder="0" applyAlignment="0" applyProtection="0"/>
    <xf numFmtId="0" fontId="201" fillId="0" borderId="0"/>
    <xf numFmtId="0" fontId="115" fillId="0" borderId="0">
      <alignment vertical="top"/>
    </xf>
    <xf numFmtId="0" fontId="19" fillId="0" borderId="0"/>
    <xf numFmtId="9" fontId="100" fillId="0" borderId="0" applyFont="0" applyFill="0" applyBorder="0" applyAlignment="0" applyProtection="0"/>
    <xf numFmtId="0" fontId="109" fillId="0" borderId="0"/>
    <xf numFmtId="205" fontId="20" fillId="0" borderId="0" applyAlignment="0" applyProtection="0"/>
    <xf numFmtId="0" fontId="51" fillId="0" borderId="0"/>
    <xf numFmtId="0" fontId="86" fillId="0" borderId="0"/>
    <xf numFmtId="0" fontId="51" fillId="0" borderId="0"/>
    <xf numFmtId="0" fontId="51" fillId="0" borderId="0"/>
    <xf numFmtId="9" fontId="99" fillId="0" borderId="0" applyFont="0" applyFill="0" applyBorder="0" applyAlignment="0" applyProtection="0"/>
    <xf numFmtId="9" fontId="100" fillId="0" borderId="0" applyFont="0" applyFill="0" applyBorder="0" applyAlignment="0" applyProtection="0"/>
    <xf numFmtId="49" fontId="219" fillId="0" borderId="53" applyNumberFormat="0" applyAlignment="0" applyProtection="0">
      <alignment horizontal="left" wrapText="1"/>
    </xf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00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51" fillId="0" borderId="0"/>
    <xf numFmtId="9" fontId="100" fillId="0" borderId="0" applyFont="0" applyFill="0" applyBorder="0" applyAlignment="0" applyProtection="0"/>
    <xf numFmtId="0" fontId="51" fillId="0" borderId="0"/>
    <xf numFmtId="0" fontId="11" fillId="0" borderId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86" fillId="0" borderId="0"/>
    <xf numFmtId="192" fontId="11" fillId="0" borderId="0" applyFont="0" applyFill="0" applyBorder="0" applyAlignment="0" applyProtection="0"/>
    <xf numFmtId="0" fontId="51" fillId="0" borderId="0"/>
    <xf numFmtId="0" fontId="51" fillId="0" borderId="0"/>
    <xf numFmtId="9" fontId="10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9" fontId="100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197" fillId="0" borderId="0"/>
    <xf numFmtId="0" fontId="51" fillId="0" borderId="0"/>
    <xf numFmtId="0" fontId="11" fillId="0" borderId="0"/>
    <xf numFmtId="0" fontId="11" fillId="0" borderId="0"/>
    <xf numFmtId="0" fontId="51" fillId="0" borderId="0"/>
    <xf numFmtId="9" fontId="1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51" fillId="0" borderId="0"/>
    <xf numFmtId="43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0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51" fillId="0" borderId="0"/>
    <xf numFmtId="0" fontId="100" fillId="0" borderId="0"/>
    <xf numFmtId="0" fontId="100" fillId="0" borderId="0"/>
    <xf numFmtId="0" fontId="100" fillId="0" borderId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0" fillId="0" borderId="0"/>
    <xf numFmtId="0" fontId="99" fillId="0" borderId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99" fillId="0" borderId="0"/>
    <xf numFmtId="0" fontId="100" fillId="0" borderId="0"/>
    <xf numFmtId="0" fontId="99" fillId="0" borderId="0"/>
    <xf numFmtId="0" fontId="99" fillId="0" borderId="0"/>
    <xf numFmtId="0" fontId="51" fillId="0" borderId="0"/>
    <xf numFmtId="168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9" fillId="0" borderId="0"/>
    <xf numFmtId="9" fontId="51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05" fillId="0" borderId="0"/>
    <xf numFmtId="0" fontId="105" fillId="0" borderId="0"/>
    <xf numFmtId="0" fontId="99" fillId="0" borderId="0"/>
    <xf numFmtId="9" fontId="99" fillId="0" borderId="0" applyFont="0" applyFill="0" applyBorder="0" applyAlignment="0" applyProtection="0"/>
    <xf numFmtId="0" fontId="103" fillId="0" borderId="0"/>
    <xf numFmtId="179" fontId="51" fillId="0" borderId="0" applyFont="0" applyFill="0" applyBorder="0" applyAlignment="0" applyProtection="0"/>
    <xf numFmtId="0" fontId="75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49" fillId="0" borderId="0"/>
    <xf numFmtId="0" fontId="51" fillId="0" borderId="0"/>
    <xf numFmtId="0" fontId="103" fillId="0" borderId="0"/>
    <xf numFmtId="0" fontId="100" fillId="0" borderId="0"/>
    <xf numFmtId="0" fontId="19" fillId="0" borderId="0"/>
    <xf numFmtId="0" fontId="11" fillId="0" borderId="0"/>
    <xf numFmtId="0" fontId="197" fillId="0" borderId="0"/>
    <xf numFmtId="0" fontId="195" fillId="0" borderId="0"/>
    <xf numFmtId="43" fontId="8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9" fillId="0" borderId="0"/>
    <xf numFmtId="0" fontId="99" fillId="0" borderId="0"/>
    <xf numFmtId="0" fontId="100" fillId="0" borderId="0"/>
    <xf numFmtId="9" fontId="51" fillId="0" borderId="0" applyFont="0" applyFill="0" applyBorder="0" applyAlignment="0" applyProtection="0"/>
    <xf numFmtId="0" fontId="100" fillId="0" borderId="0"/>
    <xf numFmtId="0" fontId="99" fillId="0" borderId="0"/>
    <xf numFmtId="0" fontId="75" fillId="0" borderId="0"/>
    <xf numFmtId="0" fontId="99" fillId="0" borderId="0"/>
    <xf numFmtId="0" fontId="100" fillId="0" borderId="0"/>
    <xf numFmtId="0" fontId="99" fillId="0" borderId="0"/>
    <xf numFmtId="9" fontId="51" fillId="0" borderId="0" applyFont="0" applyFill="0" applyBorder="0" applyAlignment="0" applyProtection="0"/>
    <xf numFmtId="0" fontId="10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173" fontId="51" fillId="0" borderId="0"/>
    <xf numFmtId="173" fontId="209" fillId="52" borderId="36" applyNumberFormat="0" applyAlignment="0" applyProtection="0"/>
    <xf numFmtId="173" fontId="86" fillId="0" borderId="0"/>
    <xf numFmtId="173" fontId="182" fillId="0" borderId="0" applyNumberFormat="0" applyFill="0" applyBorder="0" applyAlignment="0" applyProtection="0"/>
    <xf numFmtId="173" fontId="238" fillId="47" borderId="54" applyNumberFormat="0" applyProtection="0">
      <alignment horizontal="left" vertical="center" indent="1"/>
    </xf>
    <xf numFmtId="173" fontId="207" fillId="0" borderId="0" applyNumberFormat="0" applyFill="0" applyBorder="0" applyAlignment="0" applyProtection="0"/>
    <xf numFmtId="173" fontId="51" fillId="0" borderId="0"/>
    <xf numFmtId="173" fontId="238" fillId="47" borderId="54" applyNumberFormat="0" applyProtection="0">
      <alignment horizontal="left" vertical="center" indent="1"/>
    </xf>
    <xf numFmtId="173" fontId="11" fillId="0" borderId="0"/>
    <xf numFmtId="173" fontId="11" fillId="0" borderId="0"/>
    <xf numFmtId="4" fontId="167" fillId="69" borderId="54" applyNumberFormat="0" applyProtection="0">
      <alignment vertical="center"/>
    </xf>
    <xf numFmtId="173" fontId="124" fillId="61" borderId="54" applyNumberFormat="0" applyProtection="0">
      <alignment horizontal="left" vertical="top" indent="1"/>
    </xf>
    <xf numFmtId="173" fontId="196" fillId="0" borderId="0"/>
    <xf numFmtId="43" fontId="11" fillId="0" borderId="0" applyFont="0" applyFill="0" applyBorder="0" applyAlignment="0" applyProtection="0"/>
    <xf numFmtId="4" fontId="144" fillId="68" borderId="54" applyNumberFormat="0" applyProtection="0">
      <alignment horizontal="right" vertical="center"/>
    </xf>
    <xf numFmtId="0" fontId="197" fillId="0" borderId="0"/>
    <xf numFmtId="208" fontId="86" fillId="0" borderId="0" applyFont="0" applyFill="0" applyBorder="0" applyAlignment="0" applyProtection="0"/>
    <xf numFmtId="173" fontId="238" fillId="47" borderId="54" applyNumberFormat="0" applyProtection="0">
      <alignment horizontal="left" vertical="center" indent="1"/>
    </xf>
    <xf numFmtId="9" fontId="19" fillId="0" borderId="0" applyFont="0" applyFill="0" applyBorder="0" applyAlignment="0" applyProtection="0"/>
    <xf numFmtId="173" fontId="100" fillId="0" borderId="0"/>
    <xf numFmtId="173" fontId="99" fillId="0" borderId="0"/>
    <xf numFmtId="38" fontId="224" fillId="43" borderId="0" applyNumberFormat="0" applyBorder="0" applyAlignment="0" applyProtection="0"/>
    <xf numFmtId="173" fontId="11" fillId="0" borderId="0"/>
    <xf numFmtId="173" fontId="51" fillId="0" borderId="0"/>
    <xf numFmtId="173" fontId="51" fillId="0" borderId="0"/>
    <xf numFmtId="9" fontId="197" fillId="0" borderId="0"/>
    <xf numFmtId="9" fontId="100" fillId="0" borderId="0" applyFont="0" applyFill="0" applyBorder="0" applyAlignment="0" applyProtection="0"/>
    <xf numFmtId="206" fontId="221" fillId="0" borderId="0" applyFill="0" applyBorder="0" applyAlignment="0"/>
    <xf numFmtId="173" fontId="195" fillId="0" borderId="0"/>
    <xf numFmtId="173" fontId="99" fillId="0" borderId="0"/>
    <xf numFmtId="173" fontId="51" fillId="0" borderId="0"/>
    <xf numFmtId="173" fontId="100" fillId="56" borderId="0" applyNumberFormat="0" applyBorder="0" applyAlignment="0" applyProtection="0"/>
    <xf numFmtId="173" fontId="250" fillId="0" borderId="0"/>
    <xf numFmtId="43" fontId="197" fillId="0" borderId="0" applyFont="0" applyFill="0" applyBorder="0" applyAlignment="0" applyProtection="0"/>
    <xf numFmtId="173" fontId="225" fillId="0" borderId="0" applyNumberFormat="0" applyAlignment="0">
      <alignment horizontal="left"/>
    </xf>
    <xf numFmtId="173" fontId="28" fillId="61" borderId="54" applyNumberFormat="0" applyProtection="0">
      <alignment horizontal="left" vertical="center" indent="1"/>
    </xf>
    <xf numFmtId="173" fontId="227" fillId="0" borderId="0" applyNumberFormat="0" applyBorder="0" applyProtection="0">
      <alignment horizontal="center"/>
    </xf>
    <xf numFmtId="215" fontId="103" fillId="0" borderId="0"/>
    <xf numFmtId="173" fontId="100" fillId="48" borderId="0" applyNumberFormat="0" applyBorder="0" applyAlignment="0" applyProtection="0"/>
    <xf numFmtId="173" fontId="109" fillId="0" borderId="0"/>
    <xf numFmtId="217" fontId="103" fillId="0" borderId="0"/>
    <xf numFmtId="173" fontId="100" fillId="0" borderId="0"/>
    <xf numFmtId="212" fontId="197" fillId="0" borderId="0"/>
    <xf numFmtId="9" fontId="51" fillId="0" borderId="0" applyFont="0" applyFill="0" applyBorder="0" applyAlignment="0" applyProtection="0"/>
    <xf numFmtId="173" fontId="100" fillId="50" borderId="0" applyNumberFormat="0" applyBorder="0" applyAlignment="0" applyProtection="0"/>
    <xf numFmtId="173" fontId="232" fillId="92" borderId="0" applyAlignment="0"/>
    <xf numFmtId="168" fontId="100" fillId="0" borderId="0" applyFont="0" applyFill="0" applyBorder="0" applyAlignment="0" applyProtection="0"/>
    <xf numFmtId="173" fontId="86" fillId="0" borderId="0"/>
    <xf numFmtId="43" fontId="51" fillId="0" borderId="0" applyFont="0" applyFill="0" applyBorder="0" applyAlignment="0" applyProtection="0"/>
    <xf numFmtId="173" fontId="11" fillId="0" borderId="0"/>
    <xf numFmtId="173" fontId="19" fillId="0" borderId="0" applyProtection="0"/>
    <xf numFmtId="9" fontId="51" fillId="0" borderId="0" applyFont="0" applyFill="0" applyBorder="0" applyAlignment="0" applyProtection="0"/>
    <xf numFmtId="0" fontId="196" fillId="0" borderId="0"/>
    <xf numFmtId="4" fontId="167" fillId="69" borderId="54" applyNumberFormat="0" applyProtection="0">
      <alignment vertical="center"/>
    </xf>
    <xf numFmtId="173" fontId="112" fillId="0" borderId="37" applyNumberFormat="0" applyFill="0" applyAlignment="0" applyProtection="0"/>
    <xf numFmtId="173" fontId="51" fillId="62" borderId="39" applyNumberFormat="0" applyFont="0" applyAlignment="0" applyProtection="0"/>
    <xf numFmtId="173" fontId="86" fillId="0" borderId="0"/>
    <xf numFmtId="10" fontId="86" fillId="0" borderId="0" applyFont="0" applyFill="0" applyBorder="0" applyAlignment="0" applyProtection="0"/>
    <xf numFmtId="173" fontId="195" fillId="0" borderId="0"/>
    <xf numFmtId="173" fontId="248" fillId="0" borderId="0"/>
    <xf numFmtId="173" fontId="247" fillId="0" borderId="0" applyAlignment="0"/>
    <xf numFmtId="173" fontId="11" fillId="0" borderId="0"/>
    <xf numFmtId="173" fontId="103" fillId="0" borderId="0"/>
    <xf numFmtId="217" fontId="103" fillId="0" borderId="0"/>
    <xf numFmtId="173" fontId="198" fillId="58" borderId="0" applyNumberFormat="0" applyBorder="0" applyAlignment="0" applyProtection="0"/>
    <xf numFmtId="173" fontId="86" fillId="0" borderId="0"/>
    <xf numFmtId="173" fontId="245" fillId="82" borderId="0"/>
    <xf numFmtId="173" fontId="51" fillId="0" borderId="0"/>
    <xf numFmtId="9" fontId="195" fillId="0" borderId="0" applyFont="0" applyFill="0" applyBorder="0" applyAlignment="0" applyProtection="0"/>
    <xf numFmtId="173" fontId="11" fillId="0" borderId="0"/>
    <xf numFmtId="4" fontId="148" fillId="49" borderId="0" applyNumberFormat="0" applyProtection="0">
      <alignment horizontal="left" vertical="center" indent="1"/>
    </xf>
    <xf numFmtId="173" fontId="236" fillId="0" borderId="0" applyNumberFormat="0" applyBorder="0" applyProtection="0"/>
    <xf numFmtId="173" fontId="198" fillId="59" borderId="0" applyNumberFormat="0" applyBorder="0" applyAlignment="0" applyProtection="0"/>
    <xf numFmtId="173" fontId="109" fillId="0" borderId="0"/>
    <xf numFmtId="0" fontId="11" fillId="0" borderId="0"/>
    <xf numFmtId="173" fontId="250" fillId="0" borderId="0"/>
    <xf numFmtId="9" fontId="197" fillId="0" borderId="0"/>
    <xf numFmtId="173" fontId="243" fillId="0" borderId="0" applyAlignment="0"/>
    <xf numFmtId="173" fontId="11" fillId="0" borderId="0"/>
    <xf numFmtId="173" fontId="51" fillId="0" borderId="0"/>
    <xf numFmtId="173" fontId="11" fillId="0" borderId="0"/>
    <xf numFmtId="173" fontId="86" fillId="0" borderId="0"/>
    <xf numFmtId="173" fontId="198" fillId="86" borderId="0" applyNumberFormat="0" applyBorder="0" applyAlignment="0" applyProtection="0"/>
    <xf numFmtId="173" fontId="112" fillId="0" borderId="37" applyNumberFormat="0" applyFill="0" applyAlignment="0" applyProtection="0"/>
    <xf numFmtId="173" fontId="100" fillId="0" borderId="0"/>
    <xf numFmtId="173" fontId="51" fillId="0" borderId="0"/>
    <xf numFmtId="173" fontId="28" fillId="61" borderId="54" applyNumberFormat="0" applyProtection="0">
      <alignment horizontal="left" vertical="center" indent="1"/>
    </xf>
    <xf numFmtId="173" fontId="110" fillId="0" borderId="0"/>
    <xf numFmtId="173" fontId="51" fillId="0" borderId="0"/>
    <xf numFmtId="168" fontId="19" fillId="0" borderId="0" applyFont="0" applyFill="0" applyBorder="0" applyAlignment="0" applyProtection="0"/>
    <xf numFmtId="173" fontId="167" fillId="44" borderId="54" applyNumberFormat="0" applyProtection="0">
      <alignment horizontal="left" vertical="top" indent="1"/>
    </xf>
    <xf numFmtId="173" fontId="110" fillId="0" borderId="0"/>
    <xf numFmtId="43" fontId="196" fillId="0" borderId="0" applyFont="0" applyFill="0" applyBorder="0" applyAlignment="0" applyProtection="0"/>
    <xf numFmtId="173" fontId="198" fillId="55" borderId="0" applyNumberFormat="0" applyBorder="0" applyAlignment="0" applyProtection="0"/>
    <xf numFmtId="173" fontId="109" fillId="0" borderId="0"/>
    <xf numFmtId="173" fontId="11" fillId="0" borderId="0"/>
    <xf numFmtId="173" fontId="11" fillId="0" borderId="0"/>
    <xf numFmtId="173" fontId="100" fillId="50" borderId="0" applyNumberFormat="0" applyBorder="0" applyAlignment="0" applyProtection="0"/>
    <xf numFmtId="173" fontId="19" fillId="0" borderId="0"/>
    <xf numFmtId="9" fontId="196" fillId="0" borderId="0" applyFont="0" applyFill="0" applyBorder="0" applyAlignment="0" applyProtection="0"/>
    <xf numFmtId="173" fontId="109" fillId="0" borderId="0"/>
    <xf numFmtId="211" fontId="237" fillId="0" borderId="0" applyNumberFormat="0" applyFill="0" applyBorder="0" applyAlignment="0" applyProtection="0">
      <alignment horizontal="left"/>
    </xf>
    <xf numFmtId="173" fontId="228" fillId="0" borderId="0" applyNumberFormat="0" applyFill="0" applyBorder="0" applyAlignment="0" applyProtection="0"/>
    <xf numFmtId="173" fontId="11" fillId="0" borderId="0"/>
    <xf numFmtId="4" fontId="167" fillId="69" borderId="54" applyNumberFormat="0" applyProtection="0">
      <alignment vertical="center"/>
    </xf>
    <xf numFmtId="173" fontId="100" fillId="0" borderId="0"/>
    <xf numFmtId="173" fontId="100" fillId="54" borderId="0" applyNumberFormat="0" applyBorder="0" applyAlignment="0" applyProtection="0"/>
    <xf numFmtId="173" fontId="11" fillId="0" borderId="0"/>
    <xf numFmtId="173" fontId="51" fillId="0" borderId="0"/>
    <xf numFmtId="173" fontId="19" fillId="0" borderId="0"/>
    <xf numFmtId="173" fontId="100" fillId="54" borderId="0" applyNumberFormat="0" applyBorder="0" applyAlignment="0" applyProtection="0"/>
    <xf numFmtId="173" fontId="111" fillId="0" borderId="0"/>
    <xf numFmtId="173" fontId="11" fillId="0" borderId="0"/>
    <xf numFmtId="173" fontId="11" fillId="0" borderId="0"/>
    <xf numFmtId="0" fontId="251" fillId="0" borderId="0"/>
    <xf numFmtId="173" fontId="124" fillId="61" borderId="54" applyNumberFormat="0" applyProtection="0">
      <alignment horizontal="left" vertical="top" indent="1"/>
    </xf>
    <xf numFmtId="173" fontId="238" fillId="47" borderId="54" applyNumberFormat="0" applyProtection="0">
      <alignment horizontal="left" vertical="center" indent="1"/>
    </xf>
    <xf numFmtId="173" fontId="89" fillId="0" borderId="0"/>
    <xf numFmtId="173" fontId="112" fillId="0" borderId="37" applyNumberFormat="0" applyFill="0" applyAlignment="0" applyProtection="0"/>
    <xf numFmtId="173" fontId="86" fillId="0" borderId="0"/>
    <xf numFmtId="9" fontId="86" fillId="0" borderId="0" applyFont="0" applyFill="0" applyBorder="0" applyAlignment="0" applyProtection="0"/>
    <xf numFmtId="173" fontId="182" fillId="0" borderId="0" applyNumberFormat="0" applyFill="0" applyBorder="0" applyAlignment="0" applyProtection="0"/>
    <xf numFmtId="9" fontId="197" fillId="0" borderId="0"/>
    <xf numFmtId="217" fontId="103" fillId="0" borderId="0"/>
    <xf numFmtId="173" fontId="167" fillId="44" borderId="54" applyNumberFormat="0" applyProtection="0">
      <alignment horizontal="left" vertical="top" indent="1"/>
    </xf>
    <xf numFmtId="173" fontId="124" fillId="61" borderId="54" applyNumberFormat="0" applyProtection="0">
      <alignment horizontal="left" vertical="top" indent="1"/>
    </xf>
    <xf numFmtId="0" fontId="110" fillId="0" borderId="0"/>
    <xf numFmtId="173" fontId="198" fillId="89" borderId="0" applyNumberFormat="0" applyBorder="0" applyAlignment="0" applyProtection="0"/>
    <xf numFmtId="0" fontId="11" fillId="0" borderId="0"/>
    <xf numFmtId="173" fontId="110" fillId="0" borderId="0"/>
    <xf numFmtId="173" fontId="100" fillId="49" borderId="0" applyNumberFormat="0" applyBorder="0" applyAlignment="0" applyProtection="0"/>
    <xf numFmtId="173" fontId="199" fillId="48" borderId="0" applyNumberFormat="0" applyBorder="0" applyAlignment="0" applyProtection="0"/>
    <xf numFmtId="173" fontId="19" fillId="0" borderId="0"/>
    <xf numFmtId="173" fontId="209" fillId="52" borderId="36" applyNumberFormat="0" applyAlignment="0" applyProtection="0"/>
    <xf numFmtId="173" fontId="100" fillId="0" borderId="0"/>
    <xf numFmtId="173" fontId="203" fillId="49" borderId="0" applyNumberFormat="0" applyBorder="0" applyAlignment="0" applyProtection="0"/>
    <xf numFmtId="215" fontId="103" fillId="0" borderId="0"/>
    <xf numFmtId="0" fontId="249" fillId="0" borderId="0">
      <alignment horizontal="center"/>
    </xf>
    <xf numFmtId="173" fontId="11" fillId="0" borderId="0"/>
    <xf numFmtId="173" fontId="238" fillId="47" borderId="54" applyNumberFormat="0" applyProtection="0">
      <alignment horizontal="left" vertical="center" indent="1"/>
    </xf>
    <xf numFmtId="173" fontId="250" fillId="0" borderId="0"/>
    <xf numFmtId="173" fontId="167" fillId="44" borderId="54" applyNumberFormat="0" applyProtection="0">
      <alignment horizontal="left" vertical="top" indent="1"/>
    </xf>
    <xf numFmtId="9" fontId="51" fillId="0" borderId="0" applyFill="0" applyBorder="0" applyAlignment="0" applyProtection="0"/>
    <xf numFmtId="173" fontId="124" fillId="61" borderId="54" applyNumberFormat="0" applyProtection="0">
      <alignment horizontal="left" vertical="top" indent="1"/>
    </xf>
    <xf numFmtId="210" fontId="221" fillId="0" borderId="0"/>
    <xf numFmtId="173" fontId="100" fillId="53" borderId="0" applyNumberFormat="0" applyBorder="0" applyAlignment="0" applyProtection="0"/>
    <xf numFmtId="9" fontId="196" fillId="0" borderId="0" applyFont="0" applyFill="0" applyBorder="0" applyAlignment="0" applyProtection="0"/>
    <xf numFmtId="173" fontId="19" fillId="0" borderId="0"/>
    <xf numFmtId="213" fontId="197" fillId="0" borderId="0"/>
    <xf numFmtId="173" fontId="5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3" fontId="100" fillId="0" borderId="0"/>
    <xf numFmtId="173" fontId="235" fillId="0" borderId="0"/>
    <xf numFmtId="173" fontId="11" fillId="0" borderId="0"/>
    <xf numFmtId="4" fontId="167" fillId="69" borderId="54" applyNumberFormat="0" applyProtection="0">
      <alignment vertical="center"/>
    </xf>
    <xf numFmtId="9" fontId="195" fillId="0" borderId="0" applyFont="0" applyFill="0" applyBorder="0" applyAlignment="0" applyProtection="0"/>
    <xf numFmtId="173" fontId="48" fillId="26" borderId="0" applyNumberFormat="0" applyBorder="0" applyAlignment="0" applyProtection="0"/>
    <xf numFmtId="173" fontId="99" fillId="0" borderId="0"/>
    <xf numFmtId="173" fontId="195" fillId="0" borderId="0"/>
    <xf numFmtId="173" fontId="238" fillId="47" borderId="54" applyNumberFormat="0" applyProtection="0">
      <alignment horizontal="left" vertical="center" indent="1"/>
    </xf>
    <xf numFmtId="173" fontId="200" fillId="61" borderId="36" applyNumberFormat="0" applyAlignment="0" applyProtection="0"/>
    <xf numFmtId="173" fontId="100" fillId="47" borderId="0" applyNumberFormat="0" applyBorder="0" applyAlignment="0" applyProtection="0"/>
    <xf numFmtId="173" fontId="51" fillId="0" borderId="0"/>
    <xf numFmtId="0" fontId="51" fillId="0" borderId="0"/>
    <xf numFmtId="0" fontId="197" fillId="0" borderId="0"/>
    <xf numFmtId="0" fontId="197" fillId="0" borderId="0"/>
    <xf numFmtId="0" fontId="85" fillId="0" borderId="0">
      <alignment vertical="top"/>
    </xf>
    <xf numFmtId="173" fontId="51" fillId="0" borderId="0"/>
    <xf numFmtId="173" fontId="147" fillId="0" borderId="0" applyAlignment="0"/>
    <xf numFmtId="43" fontId="197" fillId="0" borderId="0" applyFont="0" applyFill="0" applyBorder="0" applyAlignment="0" applyProtection="0"/>
    <xf numFmtId="173" fontId="208" fillId="65" borderId="44" applyNumberFormat="0" applyAlignment="0" applyProtection="0"/>
    <xf numFmtId="0" fontId="99" fillId="0" borderId="0"/>
    <xf numFmtId="173" fontId="51" fillId="0" borderId="0"/>
    <xf numFmtId="173" fontId="100" fillId="23" borderId="26" applyNumberFormat="0" applyFont="0" applyAlignment="0" applyProtection="0"/>
    <xf numFmtId="173" fontId="89" fillId="0" borderId="0"/>
    <xf numFmtId="43" fontId="197" fillId="0" borderId="0" applyFont="0" applyFill="0" applyBorder="0" applyAlignment="0" applyProtection="0"/>
    <xf numFmtId="173" fontId="28" fillId="61" borderId="54" applyNumberFormat="0" applyProtection="0">
      <alignment horizontal="left" vertical="center" indent="1"/>
    </xf>
    <xf numFmtId="173" fontId="167" fillId="44" borderId="54" applyNumberFormat="0" applyProtection="0">
      <alignment horizontal="left" vertical="top" indent="1"/>
    </xf>
    <xf numFmtId="173" fontId="51" fillId="0" borderId="0"/>
    <xf numFmtId="173" fontId="100" fillId="53" borderId="0" applyNumberFormat="0" applyBorder="0" applyAlignment="0" applyProtection="0"/>
    <xf numFmtId="173" fontId="11" fillId="0" borderId="0"/>
    <xf numFmtId="0" fontId="51" fillId="0" borderId="0"/>
    <xf numFmtId="168" fontId="51" fillId="0" borderId="0" applyFont="0" applyFill="0" applyBorder="0" applyAlignment="0" applyProtection="0"/>
    <xf numFmtId="4" fontId="167" fillId="69" borderId="54" applyNumberFormat="0" applyProtection="0">
      <alignment vertical="center"/>
    </xf>
    <xf numFmtId="9" fontId="99" fillId="0" borderId="0" applyFont="0" applyFill="0" applyBorder="0" applyAlignment="0" applyProtection="0"/>
    <xf numFmtId="173" fontId="248" fillId="0" borderId="0"/>
    <xf numFmtId="0" fontId="11" fillId="0" borderId="0"/>
    <xf numFmtId="173" fontId="86" fillId="0" borderId="0"/>
    <xf numFmtId="173" fontId="227" fillId="0" borderId="0" applyNumberFormat="0" applyBorder="0" applyProtection="0">
      <alignment horizontal="center" textRotation="90"/>
    </xf>
    <xf numFmtId="173" fontId="28" fillId="61" borderId="54" applyNumberFormat="0" applyProtection="0">
      <alignment horizontal="left" vertical="center" indent="1"/>
    </xf>
    <xf numFmtId="173" fontId="208" fillId="65" borderId="44" applyNumberFormat="0" applyAlignment="0" applyProtection="0"/>
    <xf numFmtId="40" fontId="242" fillId="0" borderId="0" applyBorder="0">
      <alignment horizontal="right"/>
    </xf>
    <xf numFmtId="173" fontId="203" fillId="49" borderId="0" applyNumberFormat="0" applyBorder="0" applyAlignment="0" applyProtection="0"/>
    <xf numFmtId="173" fontId="11" fillId="0" borderId="0"/>
    <xf numFmtId="168" fontId="86" fillId="0" borderId="0" applyFont="0" applyFill="0" applyBorder="0" applyAlignment="0" applyProtection="0"/>
    <xf numFmtId="4" fontId="144" fillId="68" borderId="54" applyNumberFormat="0" applyProtection="0">
      <alignment horizontal="right" vertical="center"/>
    </xf>
    <xf numFmtId="173" fontId="89" fillId="0" borderId="0"/>
    <xf numFmtId="173" fontId="241" fillId="0" borderId="0" applyAlignment="0"/>
    <xf numFmtId="173" fontId="19" fillId="0" borderId="0" applyFont="0" applyFill="0" applyBorder="0" applyAlignment="0" applyProtection="0"/>
    <xf numFmtId="0" fontId="11" fillId="0" borderId="0"/>
    <xf numFmtId="217" fontId="103" fillId="0" borderId="0"/>
    <xf numFmtId="173" fontId="100" fillId="0" borderId="0"/>
    <xf numFmtId="9" fontId="51" fillId="0" borderId="0" applyFont="0" applyFill="0" applyBorder="0" applyAlignment="0" applyProtection="0"/>
    <xf numFmtId="4" fontId="144" fillId="68" borderId="54" applyNumberFormat="0" applyProtection="0">
      <alignment horizontal="right" vertical="center"/>
    </xf>
    <xf numFmtId="173" fontId="11" fillId="0" borderId="0"/>
    <xf numFmtId="173" fontId="112" fillId="0" borderId="37" applyNumberFormat="0" applyFill="0" applyAlignment="0" applyProtection="0"/>
    <xf numFmtId="173" fontId="40" fillId="22" borderId="0" applyNumberFormat="0" applyBorder="0" applyAlignment="0" applyProtection="0"/>
    <xf numFmtId="4" fontId="20" fillId="0" borderId="15"/>
    <xf numFmtId="215" fontId="103" fillId="0" borderId="0"/>
    <xf numFmtId="173" fontId="198" fillId="87" borderId="0" applyNumberFormat="0" applyBorder="0" applyAlignment="0" applyProtection="0"/>
    <xf numFmtId="173" fontId="198" fillId="86" borderId="0" applyNumberFormat="0" applyBorder="0" applyAlignment="0" applyProtection="0"/>
    <xf numFmtId="168" fontId="86" fillId="0" borderId="0" applyFont="0" applyFill="0" applyBorder="0" applyAlignment="0" applyProtection="0"/>
    <xf numFmtId="173" fontId="124" fillId="61" borderId="54" applyNumberFormat="0" applyProtection="0">
      <alignment horizontal="left" vertical="top" indent="1"/>
    </xf>
    <xf numFmtId="173" fontId="167" fillId="44" borderId="54" applyNumberFormat="0" applyProtection="0">
      <alignment horizontal="left" vertical="top" indent="1"/>
    </xf>
    <xf numFmtId="10" fontId="224" fillId="46" borderId="15" applyNumberFormat="0" applyBorder="0" applyAlignment="0" applyProtection="0"/>
    <xf numFmtId="4" fontId="144" fillId="68" borderId="54" applyNumberFormat="0" applyProtection="0">
      <alignment horizontal="right" vertical="center"/>
    </xf>
    <xf numFmtId="173" fontId="196" fillId="0" borderId="0"/>
    <xf numFmtId="4" fontId="167" fillId="69" borderId="54" applyNumberFormat="0" applyProtection="0">
      <alignment vertical="center"/>
    </xf>
    <xf numFmtId="173" fontId="11" fillId="0" borderId="0"/>
    <xf numFmtId="0" fontId="196" fillId="0" borderId="0"/>
    <xf numFmtId="173" fontId="111" fillId="0" borderId="0"/>
    <xf numFmtId="0" fontId="85" fillId="0" borderId="0">
      <alignment vertical="top"/>
    </xf>
    <xf numFmtId="43" fontId="19" fillId="0" borderId="0" applyFont="0" applyFill="0" applyBorder="0" applyAlignment="0" applyProtection="0"/>
    <xf numFmtId="173" fontId="11" fillId="0" borderId="0"/>
    <xf numFmtId="173" fontId="34" fillId="31" borderId="0" applyNumberFormat="0" applyBorder="0" applyAlignment="0" applyProtection="0"/>
    <xf numFmtId="173" fontId="100" fillId="0" borderId="0"/>
    <xf numFmtId="173" fontId="11" fillId="0" borderId="0"/>
    <xf numFmtId="173" fontId="212" fillId="61" borderId="49" applyNumberFormat="0" applyAlignment="0" applyProtection="0"/>
    <xf numFmtId="173" fontId="234" fillId="0" borderId="0"/>
    <xf numFmtId="173" fontId="167" fillId="44" borderId="54" applyNumberFormat="0" applyProtection="0">
      <alignment horizontal="left" vertical="top" indent="1"/>
    </xf>
    <xf numFmtId="168" fontId="86" fillId="0" borderId="0" applyFont="0" applyFill="0" applyBorder="0" applyAlignment="0" applyProtection="0"/>
    <xf numFmtId="0" fontId="197" fillId="0" borderId="0"/>
    <xf numFmtId="0" fontId="98" fillId="0" borderId="0" applyNumberFormat="0" applyFill="0" applyBorder="0" applyAlignment="0" applyProtection="0">
      <alignment vertical="top"/>
      <protection locked="0"/>
    </xf>
    <xf numFmtId="173" fontId="11" fillId="0" borderId="0"/>
    <xf numFmtId="173" fontId="248" fillId="0" borderId="0"/>
    <xf numFmtId="173" fontId="86" fillId="0" borderId="0"/>
    <xf numFmtId="173" fontId="51" fillId="0" borderId="0"/>
    <xf numFmtId="173" fontId="51" fillId="0" borderId="0"/>
    <xf numFmtId="173" fontId="211" fillId="69" borderId="0" applyNumberFormat="0" applyBorder="0" applyAlignment="0" applyProtection="0"/>
    <xf numFmtId="173" fontId="205" fillId="0" borderId="46" applyNumberFormat="0" applyFill="0" applyAlignment="0" applyProtection="0"/>
    <xf numFmtId="0" fontId="51" fillId="0" borderId="0"/>
    <xf numFmtId="168" fontId="11" fillId="0" borderId="0" applyFont="0" applyFill="0" applyBorder="0" applyAlignment="0" applyProtection="0"/>
    <xf numFmtId="173" fontId="248" fillId="0" borderId="0"/>
    <xf numFmtId="9" fontId="51" fillId="0" borderId="0" applyFont="0" applyFill="0" applyBorder="0" applyAlignment="0" applyProtection="0"/>
    <xf numFmtId="4" fontId="167" fillId="69" borderId="54" applyNumberFormat="0" applyProtection="0">
      <alignment vertical="center"/>
    </xf>
    <xf numFmtId="173" fontId="229" fillId="0" borderId="0" applyNumberFormat="0" applyFill="0" applyBorder="0" applyAlignment="0" applyProtection="0">
      <alignment vertical="top"/>
      <protection locked="0"/>
    </xf>
    <xf numFmtId="173" fontId="100" fillId="0" borderId="0"/>
    <xf numFmtId="9" fontId="196" fillId="0" borderId="0" applyFont="0" applyFill="0" applyBorder="0" applyAlignment="0" applyProtection="0"/>
    <xf numFmtId="173" fontId="180" fillId="0" borderId="33" applyNumberFormat="0" applyAlignment="0" applyProtection="0">
      <alignment horizontal="left" vertical="center"/>
    </xf>
    <xf numFmtId="173" fontId="100" fillId="47" borderId="0" applyNumberFormat="0" applyBorder="0" applyAlignment="0" applyProtection="0"/>
    <xf numFmtId="9" fontId="197" fillId="0" borderId="0"/>
    <xf numFmtId="173" fontId="198" fillId="54" borderId="0" applyNumberFormat="0" applyBorder="0" applyAlignment="0" applyProtection="0"/>
    <xf numFmtId="173" fontId="11" fillId="0" borderId="0"/>
    <xf numFmtId="173" fontId="210" fillId="0" borderId="38" applyNumberFormat="0" applyFill="0" applyAlignment="0" applyProtection="0"/>
    <xf numFmtId="173" fontId="238" fillId="47" borderId="54" applyNumberFormat="0" applyProtection="0">
      <alignment horizontal="left" vertical="center" indent="1"/>
    </xf>
    <xf numFmtId="173" fontId="200" fillId="61" borderId="36" applyNumberFormat="0" applyAlignment="0" applyProtection="0"/>
    <xf numFmtId="173" fontId="11" fillId="0" borderId="0"/>
    <xf numFmtId="173" fontId="198" fillId="58" borderId="0" applyNumberFormat="0" applyBorder="0" applyAlignment="0" applyProtection="0"/>
    <xf numFmtId="173" fontId="51" fillId="0" borderId="0"/>
    <xf numFmtId="173" fontId="221" fillId="0" borderId="0"/>
    <xf numFmtId="173" fontId="100" fillId="55" borderId="0" applyNumberFormat="0" applyBorder="0" applyAlignment="0" applyProtection="0"/>
    <xf numFmtId="173" fontId="51" fillId="0" borderId="0"/>
    <xf numFmtId="4" fontId="144" fillId="68" borderId="54" applyNumberFormat="0" applyProtection="0">
      <alignment horizontal="right" vertical="center"/>
    </xf>
    <xf numFmtId="173" fontId="100" fillId="52" borderId="0" applyNumberFormat="0" applyBorder="0" applyAlignment="0" applyProtection="0"/>
    <xf numFmtId="173" fontId="246" fillId="0" borderId="0" applyAlignment="0"/>
    <xf numFmtId="4" fontId="167" fillId="69" borderId="54" applyNumberFormat="0" applyProtection="0">
      <alignment vertical="center"/>
    </xf>
    <xf numFmtId="9" fontId="11" fillId="0" borderId="0" applyFont="0" applyFill="0" applyBorder="0" applyAlignment="0" applyProtection="0"/>
    <xf numFmtId="173" fontId="100" fillId="0" borderId="0"/>
    <xf numFmtId="173" fontId="51" fillId="0" borderId="0"/>
    <xf numFmtId="173" fontId="103" fillId="0" borderId="0" applyBorder="0" applyProtection="0"/>
    <xf numFmtId="173" fontId="89" fillId="0" borderId="0"/>
    <xf numFmtId="173" fontId="217" fillId="0" borderId="0"/>
    <xf numFmtId="168" fontId="86" fillId="0" borderId="0" applyFont="0" applyFill="0" applyBorder="0" applyAlignment="0" applyProtection="0"/>
    <xf numFmtId="173" fontId="222" fillId="90" borderId="0" applyAlignment="0"/>
    <xf numFmtId="173" fontId="51" fillId="0" borderId="0"/>
    <xf numFmtId="0" fontId="197" fillId="0" borderId="0"/>
    <xf numFmtId="9" fontId="19" fillId="0" borderId="0" applyFont="0" applyFill="0" applyBorder="0" applyAlignment="0" applyProtection="0"/>
    <xf numFmtId="217" fontId="248" fillId="0" borderId="0"/>
    <xf numFmtId="9" fontId="197" fillId="0" borderId="0" applyFont="0" applyFill="0" applyBorder="0" applyAlignment="0" applyProtection="0"/>
    <xf numFmtId="173" fontId="231" fillId="91" borderId="0" applyAlignment="0"/>
    <xf numFmtId="173" fontId="230" fillId="0" borderId="0" applyAlignment="0"/>
    <xf numFmtId="173" fontId="250" fillId="0" borderId="0"/>
    <xf numFmtId="173" fontId="11" fillId="0" borderId="0"/>
    <xf numFmtId="173" fontId="11" fillId="0" borderId="0"/>
    <xf numFmtId="173" fontId="180" fillId="0" borderId="35">
      <alignment horizontal="left" vertical="center"/>
    </xf>
    <xf numFmtId="0" fontId="51" fillId="0" borderId="0"/>
    <xf numFmtId="173" fontId="195" fillId="0" borderId="0"/>
    <xf numFmtId="173" fontId="100" fillId="53" borderId="0" applyNumberFormat="0" applyBorder="0" applyAlignment="0" applyProtection="0"/>
    <xf numFmtId="173" fontId="124" fillId="61" borderId="54" applyNumberFormat="0" applyProtection="0">
      <alignment horizontal="left" vertical="top" indent="1"/>
    </xf>
    <xf numFmtId="0" fontId="197" fillId="0" borderId="0"/>
    <xf numFmtId="4" fontId="144" fillId="68" borderId="54" applyNumberFormat="0" applyProtection="0">
      <alignment horizontal="right" vertical="center"/>
    </xf>
    <xf numFmtId="173" fontId="51" fillId="0" borderId="0"/>
    <xf numFmtId="173" fontId="28" fillId="61" borderId="54" applyNumberFormat="0" applyProtection="0">
      <alignment horizontal="left" vertical="center" indent="1"/>
    </xf>
    <xf numFmtId="173" fontId="108" fillId="0" borderId="0">
      <alignment vertical="top"/>
    </xf>
    <xf numFmtId="173" fontId="198" fillId="57" borderId="0" applyNumberFormat="0" applyBorder="0" applyAlignment="0" applyProtection="0"/>
    <xf numFmtId="173" fontId="51" fillId="0" borderId="0"/>
    <xf numFmtId="173" fontId="11" fillId="0" borderId="0"/>
    <xf numFmtId="173" fontId="100" fillId="0" borderId="0"/>
    <xf numFmtId="4" fontId="167" fillId="69" borderId="54" applyNumberFormat="0" applyProtection="0">
      <alignment vertical="center"/>
    </xf>
    <xf numFmtId="4" fontId="144" fillId="68" borderId="54" applyNumberFormat="0" applyProtection="0">
      <alignment horizontal="right" vertical="center"/>
    </xf>
    <xf numFmtId="9" fontId="197" fillId="0" borderId="0" applyFont="0" applyFill="0" applyBorder="0" applyAlignment="0" applyProtection="0"/>
    <xf numFmtId="9" fontId="51" fillId="0" borderId="0" applyFont="0" applyFill="0" applyBorder="0" applyAlignment="0" applyProtection="0"/>
    <xf numFmtId="173" fontId="100" fillId="56" borderId="0" applyNumberFormat="0" applyBorder="0" applyAlignment="0" applyProtection="0"/>
    <xf numFmtId="173" fontId="11" fillId="0" borderId="0"/>
    <xf numFmtId="207" fontId="51" fillId="0" borderId="0" applyFont="0" applyFill="0" applyBorder="0" applyAlignment="0" applyProtection="0"/>
    <xf numFmtId="173" fontId="212" fillId="61" borderId="49" applyNumberFormat="0" applyAlignment="0" applyProtection="0"/>
    <xf numFmtId="0" fontId="197" fillId="0" borderId="0"/>
    <xf numFmtId="173" fontId="28" fillId="61" borderId="54" applyNumberFormat="0" applyProtection="0">
      <alignment horizontal="left" vertical="center" indent="1"/>
    </xf>
    <xf numFmtId="173" fontId="19" fillId="0" borderId="0"/>
    <xf numFmtId="173" fontId="238" fillId="47" borderId="54" applyNumberFormat="0" applyProtection="0">
      <alignment horizontal="left" vertical="center" indent="1"/>
    </xf>
    <xf numFmtId="217" fontId="248" fillId="0" borderId="0"/>
    <xf numFmtId="9" fontId="197" fillId="0" borderId="0"/>
    <xf numFmtId="173" fontId="11" fillId="0" borderId="0"/>
    <xf numFmtId="173" fontId="11" fillId="0" borderId="0"/>
    <xf numFmtId="168" fontId="51" fillId="0" borderId="0" applyFont="0" applyFill="0" applyBorder="0" applyAlignment="0" applyProtection="0"/>
    <xf numFmtId="0" fontId="197" fillId="0" borderId="0"/>
    <xf numFmtId="173" fontId="220" fillId="0" borderId="0" applyNumberFormat="0" applyFill="0" applyBorder="0" applyAlignment="0" applyProtection="0"/>
    <xf numFmtId="4" fontId="167" fillId="69" borderId="54" applyNumberFormat="0" applyProtection="0">
      <alignment vertical="center"/>
    </xf>
    <xf numFmtId="173" fontId="100" fillId="0" borderId="0"/>
    <xf numFmtId="173" fontId="124" fillId="61" borderId="54" applyNumberFormat="0" applyProtection="0">
      <alignment horizontal="left" vertical="top" indent="1"/>
    </xf>
    <xf numFmtId="9" fontId="11" fillId="0" borderId="0" applyFont="0" applyFill="0" applyBorder="0" applyAlignment="0" applyProtection="0"/>
    <xf numFmtId="173" fontId="240" fillId="94" borderId="0">
      <alignment horizontal="right" vertical="center"/>
    </xf>
    <xf numFmtId="173" fontId="51" fillId="0" borderId="0"/>
    <xf numFmtId="173" fontId="11" fillId="0" borderId="0"/>
    <xf numFmtId="9" fontId="197" fillId="0" borderId="0" applyFont="0" applyFill="0" applyBorder="0" applyAlignment="0" applyProtection="0"/>
    <xf numFmtId="173" fontId="51" fillId="0" borderId="0"/>
    <xf numFmtId="173" fontId="202" fillId="0" borderId="0" applyNumberFormat="0" applyFill="0" applyBorder="0" applyAlignment="0" applyProtection="0"/>
    <xf numFmtId="173" fontId="11" fillId="0" borderId="0"/>
    <xf numFmtId="9" fontId="11" fillId="0" borderId="0" applyFont="0" applyFill="0" applyBorder="0" applyAlignment="0" applyProtection="0"/>
    <xf numFmtId="173" fontId="51" fillId="0" borderId="0"/>
    <xf numFmtId="173" fontId="100" fillId="52" borderId="0" applyNumberFormat="0" applyBorder="0" applyAlignment="0" applyProtection="0"/>
    <xf numFmtId="173" fontId="100" fillId="0" borderId="0"/>
    <xf numFmtId="173" fontId="144" fillId="0" borderId="0">
      <alignment vertical="top"/>
    </xf>
    <xf numFmtId="173" fontId="11" fillId="0" borderId="0"/>
    <xf numFmtId="0" fontId="197" fillId="0" borderId="0"/>
    <xf numFmtId="9" fontId="11" fillId="0" borderId="0" applyFont="0" applyFill="0" applyBorder="0" applyAlignment="0" applyProtection="0"/>
    <xf numFmtId="173" fontId="238" fillId="47" borderId="54" applyNumberFormat="0" applyProtection="0">
      <alignment horizontal="left" vertical="center" indent="1"/>
    </xf>
    <xf numFmtId="9" fontId="197" fillId="0" borderId="0" applyFont="0" applyFill="0" applyBorder="0" applyAlignment="0" applyProtection="0"/>
    <xf numFmtId="9" fontId="51" fillId="0" borderId="0" applyFont="0" applyFill="0" applyBorder="0" applyAlignment="0" applyProtection="0"/>
    <xf numFmtId="173" fontId="198" fillId="55" borderId="0" applyNumberFormat="0" applyBorder="0" applyAlignment="0" applyProtection="0"/>
    <xf numFmtId="173" fontId="19" fillId="0" borderId="0"/>
    <xf numFmtId="208" fontId="86" fillId="0" borderId="0" applyFont="0" applyFill="0" applyBorder="0" applyAlignment="0" applyProtection="0"/>
    <xf numFmtId="214" fontId="51" fillId="0" borderId="0" applyFill="0" applyBorder="0" applyAlignment="0" applyProtection="0"/>
    <xf numFmtId="173" fontId="124" fillId="61" borderId="54" applyNumberFormat="0" applyProtection="0">
      <alignment horizontal="left" vertical="top" indent="1"/>
    </xf>
    <xf numFmtId="173" fontId="110" fillId="0" borderId="0"/>
    <xf numFmtId="208" fontId="51" fillId="0" borderId="0" applyFont="0" applyFill="0" applyBorder="0" applyAlignment="0" applyProtection="0"/>
    <xf numFmtId="0" fontId="197" fillId="0" borderId="0"/>
    <xf numFmtId="173" fontId="11" fillId="0" borderId="0"/>
    <xf numFmtId="173" fontId="124" fillId="61" borderId="54" applyNumberFormat="0" applyProtection="0">
      <alignment horizontal="left" vertical="top" indent="1"/>
    </xf>
    <xf numFmtId="173" fontId="109" fillId="0" borderId="0"/>
    <xf numFmtId="173" fontId="100" fillId="55" borderId="0" applyNumberFormat="0" applyBorder="0" applyAlignment="0" applyProtection="0"/>
    <xf numFmtId="173" fontId="198" fillId="60" borderId="0" applyNumberFormat="0" applyBorder="0" applyAlignment="0" applyProtection="0"/>
    <xf numFmtId="168" fontId="19" fillId="0" borderId="0" applyFont="0" applyFill="0" applyBorder="0" applyAlignment="0" applyProtection="0"/>
    <xf numFmtId="173" fontId="28" fillId="61" borderId="54" applyNumberFormat="0" applyProtection="0">
      <alignment horizontal="left" vertical="center" indent="1"/>
    </xf>
    <xf numFmtId="173" fontId="51" fillId="62" borderId="39" applyNumberFormat="0" applyFont="0" applyAlignment="0" applyProtection="0"/>
    <xf numFmtId="173" fontId="11" fillId="0" borderId="0"/>
    <xf numFmtId="4" fontId="144" fillId="68" borderId="54" applyNumberFormat="0" applyProtection="0">
      <alignment horizontal="right" vertical="center"/>
    </xf>
    <xf numFmtId="0" fontId="197" fillId="0" borderId="0"/>
    <xf numFmtId="173" fontId="28" fillId="61" borderId="54" applyNumberFormat="0" applyProtection="0">
      <alignment horizontal="left" vertical="center" indent="1"/>
    </xf>
    <xf numFmtId="212" fontId="197" fillId="0" borderId="0"/>
    <xf numFmtId="173" fontId="167" fillId="44" borderId="54" applyNumberFormat="0" applyProtection="0">
      <alignment horizontal="left" vertical="top" indent="1"/>
    </xf>
    <xf numFmtId="0" fontId="124" fillId="0" borderId="55"/>
    <xf numFmtId="173" fontId="99" fillId="0" borderId="0"/>
    <xf numFmtId="0" fontId="99" fillId="0" borderId="0"/>
    <xf numFmtId="173" fontId="196" fillId="0" borderId="0"/>
    <xf numFmtId="173" fontId="198" fillId="58" borderId="0" applyNumberFormat="0" applyBorder="0" applyAlignment="0" applyProtection="0"/>
    <xf numFmtId="173" fontId="238" fillId="47" borderId="54" applyNumberFormat="0" applyProtection="0">
      <alignment horizontal="left" vertical="center" indent="1"/>
    </xf>
    <xf numFmtId="9" fontId="197" fillId="0" borderId="0" applyFont="0" applyFill="0" applyBorder="0" applyAlignment="0" applyProtection="0"/>
    <xf numFmtId="173" fontId="11" fillId="0" borderId="0"/>
    <xf numFmtId="9" fontId="99" fillId="0" borderId="0" applyFont="0" applyFill="0" applyBorder="0" applyAlignment="0" applyProtection="0"/>
    <xf numFmtId="173" fontId="207" fillId="0" borderId="48" applyNumberFormat="0" applyFill="0" applyAlignment="0" applyProtection="0"/>
    <xf numFmtId="173" fontId="11" fillId="0" borderId="0"/>
    <xf numFmtId="173" fontId="238" fillId="47" borderId="54" applyNumberFormat="0" applyProtection="0">
      <alignment horizontal="left" vertical="center" indent="1"/>
    </xf>
    <xf numFmtId="173" fontId="11" fillId="0" borderId="0"/>
    <xf numFmtId="0" fontId="197" fillId="0" borderId="0"/>
    <xf numFmtId="9" fontId="197" fillId="0" borderId="0" applyFont="0" applyFill="0" applyBorder="0" applyAlignment="0" applyProtection="0"/>
    <xf numFmtId="173" fontId="211" fillId="69" borderId="0" applyNumberFormat="0" applyBorder="0" applyAlignment="0" applyProtection="0"/>
    <xf numFmtId="173" fontId="248" fillId="0" borderId="0"/>
    <xf numFmtId="173" fontId="100" fillId="0" borderId="0" applyFont="0" applyFill="0" applyBorder="0" applyAlignment="0" applyProtection="0"/>
    <xf numFmtId="43" fontId="51" fillId="0" borderId="0" applyFont="0" applyFill="0" applyBorder="0" applyAlignment="0" applyProtection="0"/>
    <xf numFmtId="173" fontId="198" fillId="59" borderId="0" applyNumberFormat="0" applyBorder="0" applyAlignment="0" applyProtection="0"/>
    <xf numFmtId="173" fontId="144" fillId="0" borderId="0" applyAlignment="0"/>
    <xf numFmtId="0" fontId="98" fillId="0" borderId="0" applyNumberFormat="0" applyFill="0" applyBorder="0" applyAlignment="0" applyProtection="0">
      <alignment vertical="top"/>
      <protection locked="0"/>
    </xf>
    <xf numFmtId="216" fontId="103" fillId="0" borderId="0"/>
    <xf numFmtId="43" fontId="11" fillId="0" borderId="0" applyFont="0" applyFill="0" applyBorder="0" applyAlignment="0" applyProtection="0"/>
    <xf numFmtId="173" fontId="103" fillId="0" borderId="0"/>
    <xf numFmtId="0" fontId="99" fillId="0" borderId="0"/>
    <xf numFmtId="9" fontId="19" fillId="0" borderId="0" applyFont="0" applyFill="0" applyBorder="0" applyAlignment="0" applyProtection="0"/>
    <xf numFmtId="215" fontId="103" fillId="0" borderId="0"/>
    <xf numFmtId="173" fontId="109" fillId="0" borderId="0"/>
    <xf numFmtId="173" fontId="195" fillId="0" borderId="0"/>
    <xf numFmtId="173" fontId="86" fillId="0" borderId="0"/>
    <xf numFmtId="4" fontId="144" fillId="68" borderId="54" applyNumberFormat="0" applyProtection="0">
      <alignment horizontal="right" vertical="center"/>
    </xf>
    <xf numFmtId="173" fontId="51" fillId="0" borderId="0"/>
    <xf numFmtId="172" fontId="11" fillId="0" borderId="0"/>
    <xf numFmtId="9" fontId="197" fillId="0" borderId="0" applyFont="0" applyFill="0" applyBorder="0" applyAlignment="0" applyProtection="0"/>
    <xf numFmtId="173" fontId="198" fillId="89" borderId="0" applyNumberFormat="0" applyBorder="0" applyAlignment="0" applyProtection="0"/>
    <xf numFmtId="173" fontId="100" fillId="51" borderId="0" applyNumberFormat="0" applyBorder="0" applyAlignment="0" applyProtection="0"/>
    <xf numFmtId="173" fontId="213" fillId="0" borderId="0" applyNumberFormat="0" applyFill="0" applyBorder="0" applyAlignment="0" applyProtection="0"/>
    <xf numFmtId="173" fontId="224" fillId="82" borderId="0">
      <alignment horizontal="left"/>
    </xf>
    <xf numFmtId="9" fontId="195" fillId="0" borderId="0" applyFont="0" applyFill="0" applyBorder="0" applyAlignment="0" applyProtection="0"/>
    <xf numFmtId="173" fontId="198" fillId="88" borderId="0" applyNumberFormat="0" applyBorder="0" applyAlignment="0" applyProtection="0"/>
    <xf numFmtId="173" fontId="51" fillId="0" borderId="0"/>
    <xf numFmtId="173" fontId="109" fillId="0" borderId="0"/>
    <xf numFmtId="172" fontId="251" fillId="0" borderId="0"/>
    <xf numFmtId="9" fontId="197" fillId="0" borderId="0" applyFont="0" applyFill="0" applyBorder="0" applyAlignment="0" applyProtection="0"/>
    <xf numFmtId="173" fontId="100" fillId="0" borderId="0"/>
    <xf numFmtId="172" fontId="11" fillId="0" borderId="0"/>
    <xf numFmtId="9" fontId="197" fillId="0" borderId="0"/>
    <xf numFmtId="173" fontId="109" fillId="0" borderId="0"/>
    <xf numFmtId="208" fontId="51" fillId="0" borderId="0" applyFont="0" applyFill="0" applyBorder="0" applyAlignment="0" applyProtection="0"/>
    <xf numFmtId="173" fontId="198" fillId="54" borderId="0" applyNumberFormat="0" applyBorder="0" applyAlignment="0" applyProtection="0"/>
    <xf numFmtId="173" fontId="11" fillId="0" borderId="0"/>
    <xf numFmtId="173" fontId="28" fillId="61" borderId="54" applyNumberFormat="0" applyProtection="0">
      <alignment horizontal="left" vertical="center" indent="1"/>
    </xf>
    <xf numFmtId="173" fontId="196" fillId="0" borderId="0"/>
    <xf numFmtId="173" fontId="51" fillId="0" borderId="0"/>
    <xf numFmtId="212" fontId="197" fillId="0" borderId="0"/>
    <xf numFmtId="173" fontId="51" fillId="0" borderId="0"/>
    <xf numFmtId="173" fontId="99" fillId="0" borderId="0"/>
    <xf numFmtId="173" fontId="11" fillId="0" borderId="0"/>
    <xf numFmtId="173" fontId="167" fillId="44" borderId="54" applyNumberFormat="0" applyProtection="0">
      <alignment horizontal="left" vertical="top" indent="1"/>
    </xf>
    <xf numFmtId="173" fontId="212" fillId="61" borderId="49" applyNumberFormat="0" applyAlignment="0" applyProtection="0"/>
    <xf numFmtId="173" fontId="206" fillId="0" borderId="47" applyNumberFormat="0" applyFill="0" applyAlignment="0" applyProtection="0"/>
    <xf numFmtId="173" fontId="11" fillId="0" borderId="0"/>
    <xf numFmtId="173" fontId="11" fillId="0" borderId="0"/>
    <xf numFmtId="173" fontId="100" fillId="0" borderId="0"/>
    <xf numFmtId="43" fontId="110" fillId="0" borderId="0" applyFont="0" applyFill="0" applyBorder="0" applyAlignment="0" applyProtection="0"/>
    <xf numFmtId="4" fontId="20" fillId="0" borderId="15"/>
    <xf numFmtId="173" fontId="51" fillId="0" borderId="0"/>
    <xf numFmtId="173" fontId="167" fillId="44" borderId="54" applyNumberFormat="0" applyProtection="0">
      <alignment horizontal="left" vertical="top" indent="1"/>
    </xf>
    <xf numFmtId="173" fontId="11" fillId="0" borderId="0"/>
    <xf numFmtId="43" fontId="99" fillId="0" borderId="0" applyFont="0" applyFill="0" applyBorder="0" applyAlignment="0" applyProtection="0"/>
    <xf numFmtId="208" fontId="86" fillId="0" borderId="0" applyFont="0" applyFill="0" applyBorder="0" applyAlignment="0" applyProtection="0"/>
    <xf numFmtId="173" fontId="11" fillId="0" borderId="0"/>
    <xf numFmtId="173" fontId="244" fillId="0" borderId="0"/>
    <xf numFmtId="173" fontId="99" fillId="0" borderId="0"/>
    <xf numFmtId="173" fontId="100" fillId="0" borderId="0"/>
    <xf numFmtId="0" fontId="51" fillId="0" borderId="0"/>
    <xf numFmtId="43" fontId="99" fillId="0" borderId="0" applyFont="0" applyFill="0" applyBorder="0" applyAlignment="0" applyProtection="0"/>
    <xf numFmtId="173" fontId="11" fillId="0" borderId="0"/>
    <xf numFmtId="0" fontId="51" fillId="0" borderId="0"/>
    <xf numFmtId="168" fontId="51" fillId="0" borderId="0" applyFont="0" applyFill="0" applyBorder="0" applyAlignment="0" applyProtection="0"/>
    <xf numFmtId="173" fontId="51" fillId="0" borderId="0"/>
    <xf numFmtId="173" fontId="197" fillId="0" borderId="0"/>
    <xf numFmtId="173" fontId="51" fillId="0" borderId="0"/>
    <xf numFmtId="173" fontId="198" fillId="87" borderId="0" applyNumberFormat="0" applyBorder="0" applyAlignment="0" applyProtection="0"/>
    <xf numFmtId="9" fontId="197" fillId="0" borderId="0"/>
    <xf numFmtId="9" fontId="197" fillId="0" borderId="0"/>
    <xf numFmtId="173" fontId="51" fillId="0" borderId="0"/>
    <xf numFmtId="173" fontId="28" fillId="61" borderId="54" applyNumberFormat="0" applyProtection="0">
      <alignment horizontal="left" vertical="center" indent="1"/>
    </xf>
    <xf numFmtId="173" fontId="51" fillId="0" borderId="0"/>
    <xf numFmtId="173" fontId="11" fillId="0" borderId="0"/>
    <xf numFmtId="9" fontId="195" fillId="0" borderId="0" applyFont="0" applyFill="0" applyBorder="0" applyAlignment="0" applyProtection="0"/>
    <xf numFmtId="173" fontId="51" fillId="0" borderId="0"/>
    <xf numFmtId="173" fontId="51" fillId="0" borderId="0"/>
    <xf numFmtId="0" fontId="85" fillId="0" borderId="0">
      <alignment vertical="top"/>
    </xf>
    <xf numFmtId="0" fontId="51" fillId="0" borderId="0"/>
    <xf numFmtId="173" fontId="11" fillId="0" borderId="0"/>
    <xf numFmtId="168" fontId="19" fillId="0" borderId="0" applyFont="0" applyFill="0" applyBorder="0" applyAlignment="0" applyProtection="0"/>
    <xf numFmtId="173" fontId="148" fillId="0" borderId="0" applyAlignment="0"/>
    <xf numFmtId="9" fontId="197" fillId="0" borderId="0"/>
    <xf numFmtId="173" fontId="99" fillId="0" borderId="0"/>
    <xf numFmtId="9" fontId="100" fillId="0" borderId="0" applyFont="0" applyFill="0" applyBorder="0" applyAlignment="0" applyProtection="0"/>
    <xf numFmtId="173" fontId="167" fillId="44" borderId="54" applyNumberFormat="0" applyProtection="0">
      <alignment horizontal="left" vertical="top" indent="1"/>
    </xf>
    <xf numFmtId="9" fontId="197" fillId="0" borderId="0" applyFont="0" applyFill="0" applyBorder="0" applyAlignment="0" applyProtection="0"/>
    <xf numFmtId="9" fontId="197" fillId="0" borderId="0"/>
    <xf numFmtId="43" fontId="11" fillId="0" borderId="0" applyFont="0" applyFill="0" applyBorder="0" applyAlignment="0" applyProtection="0"/>
    <xf numFmtId="173" fontId="100" fillId="49" borderId="0" applyNumberFormat="0" applyBorder="0" applyAlignment="0" applyProtection="0"/>
    <xf numFmtId="217" fontId="103" fillId="0" borderId="0"/>
    <xf numFmtId="0" fontId="85" fillId="0" borderId="0">
      <alignment vertical="top"/>
    </xf>
    <xf numFmtId="173" fontId="236" fillId="0" borderId="0" applyBorder="0" applyProtection="0"/>
    <xf numFmtId="173" fontId="100" fillId="0" borderId="0"/>
    <xf numFmtId="173" fontId="51" fillId="0" borderId="0"/>
    <xf numFmtId="9" fontId="197" fillId="0" borderId="0" applyFont="0" applyFill="0" applyBorder="0" applyAlignment="0" applyProtection="0"/>
    <xf numFmtId="168" fontId="100" fillId="0" borderId="0" applyFont="0" applyFill="0" applyBorder="0" applyAlignment="0" applyProtection="0"/>
    <xf numFmtId="9" fontId="51" fillId="0" borderId="0" applyFont="0" applyFill="0" applyBorder="0" applyAlignment="0" applyProtection="0"/>
    <xf numFmtId="173" fontId="213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209" fontId="224" fillId="82" borderId="0">
      <alignment horizontal="right"/>
    </xf>
    <xf numFmtId="173" fontId="100" fillId="50" borderId="0" applyNumberFormat="0" applyBorder="0" applyAlignment="0" applyProtection="0"/>
    <xf numFmtId="0" fontId="196" fillId="0" borderId="0"/>
    <xf numFmtId="173" fontId="100" fillId="0" borderId="0"/>
    <xf numFmtId="173" fontId="209" fillId="52" borderId="36" applyNumberFormat="0" applyAlignment="0" applyProtection="0"/>
    <xf numFmtId="173" fontId="51" fillId="0" borderId="0"/>
    <xf numFmtId="9" fontId="197" fillId="0" borderId="0" applyFont="0" applyFill="0" applyBorder="0" applyAlignment="0" applyProtection="0"/>
    <xf numFmtId="173" fontId="86" fillId="0" borderId="0"/>
    <xf numFmtId="173" fontId="124" fillId="61" borderId="54" applyNumberFormat="0" applyProtection="0">
      <alignment horizontal="left" vertical="top" indent="1"/>
    </xf>
    <xf numFmtId="173" fontId="11" fillId="0" borderId="0"/>
    <xf numFmtId="173" fontId="202" fillId="0" borderId="0" applyNumberFormat="0" applyFill="0" applyBorder="0" applyAlignment="0" applyProtection="0"/>
    <xf numFmtId="0" fontId="51" fillId="0" borderId="0"/>
    <xf numFmtId="168" fontId="51" fillId="0" borderId="0" applyFont="0" applyFill="0" applyBorder="0" applyAlignment="0" applyProtection="0"/>
    <xf numFmtId="173" fontId="11" fillId="0" borderId="0"/>
    <xf numFmtId="173" fontId="86" fillId="0" borderId="0"/>
    <xf numFmtId="173" fontId="51" fillId="0" borderId="0"/>
    <xf numFmtId="173" fontId="11" fillId="0" borderId="0"/>
    <xf numFmtId="173" fontId="11" fillId="0" borderId="0"/>
    <xf numFmtId="173" fontId="210" fillId="0" borderId="38" applyNumberFormat="0" applyFill="0" applyAlignment="0" applyProtection="0"/>
    <xf numFmtId="4" fontId="21" fillId="0" borderId="15"/>
    <xf numFmtId="173" fontId="198" fillId="57" borderId="0" applyNumberFormat="0" applyBorder="0" applyAlignment="0" applyProtection="0"/>
    <xf numFmtId="4" fontId="144" fillId="68" borderId="54" applyNumberFormat="0" applyProtection="0">
      <alignment horizontal="right" vertical="center"/>
    </xf>
    <xf numFmtId="173" fontId="11" fillId="0" borderId="0"/>
    <xf numFmtId="173" fontId="19" fillId="0" borderId="0"/>
    <xf numFmtId="173" fontId="11" fillId="0" borderId="0"/>
    <xf numFmtId="43" fontId="197" fillId="0" borderId="0" applyFont="0" applyFill="0" applyBorder="0" applyAlignment="0" applyProtection="0"/>
    <xf numFmtId="9" fontId="197" fillId="0" borderId="0" applyFont="0" applyFill="0" applyBorder="0" applyAlignment="0" applyProtection="0"/>
    <xf numFmtId="173" fontId="100" fillId="0" borderId="0"/>
    <xf numFmtId="173" fontId="239" fillId="93" borderId="0" applyAlignment="0"/>
    <xf numFmtId="173" fontId="200" fillId="61" borderId="36" applyNumberFormat="0" applyAlignment="0" applyProtection="0"/>
    <xf numFmtId="168" fontId="11" fillId="0" borderId="0" applyFont="0" applyFill="0" applyBorder="0" applyAlignment="0" applyProtection="0"/>
    <xf numFmtId="173" fontId="223" fillId="0" borderId="0" applyNumberFormat="0" applyAlignment="0">
      <alignment horizontal="left"/>
    </xf>
    <xf numFmtId="4" fontId="144" fillId="68" borderId="54" applyNumberFormat="0" applyProtection="0">
      <alignment horizontal="right" vertical="center"/>
    </xf>
    <xf numFmtId="173" fontId="28" fillId="61" borderId="54" applyNumberFormat="0" applyProtection="0">
      <alignment horizontal="left" vertical="center" indent="1"/>
    </xf>
    <xf numFmtId="173" fontId="11" fillId="0" borderId="0"/>
    <xf numFmtId="215" fontId="103" fillId="0" borderId="0"/>
    <xf numFmtId="43" fontId="51" fillId="0" borderId="0" applyFill="0" applyBorder="0" applyAlignment="0" applyProtection="0"/>
    <xf numFmtId="173" fontId="100" fillId="0" borderId="0"/>
    <xf numFmtId="4" fontId="144" fillId="68" borderId="54" applyNumberFormat="0" applyProtection="0">
      <alignment horizontal="right" vertical="center"/>
    </xf>
    <xf numFmtId="173" fontId="100" fillId="0" borderId="0"/>
    <xf numFmtId="173" fontId="99" fillId="0" borderId="0"/>
    <xf numFmtId="0" fontId="11" fillId="0" borderId="0"/>
    <xf numFmtId="173" fontId="100" fillId="53" borderId="0" applyNumberFormat="0" applyBorder="0" applyAlignment="0" applyProtection="0"/>
    <xf numFmtId="173" fontId="226" fillId="0" borderId="0"/>
    <xf numFmtId="173" fontId="11" fillId="0" borderId="0"/>
    <xf numFmtId="173" fontId="11" fillId="0" borderId="0"/>
    <xf numFmtId="173" fontId="11" fillId="0" borderId="0"/>
    <xf numFmtId="173" fontId="198" fillId="60" borderId="0" applyNumberFormat="0" applyBorder="0" applyAlignment="0" applyProtection="0"/>
    <xf numFmtId="173" fontId="51" fillId="62" borderId="39" applyNumberFormat="0" applyFont="0" applyAlignment="0" applyProtection="0"/>
    <xf numFmtId="216" fontId="103" fillId="0" borderId="0"/>
    <xf numFmtId="173" fontId="100" fillId="0" borderId="0"/>
    <xf numFmtId="173" fontId="198" fillId="58" borderId="0" applyNumberFormat="0" applyBorder="0" applyAlignment="0" applyProtection="0"/>
    <xf numFmtId="0" fontId="99" fillId="0" borderId="0"/>
    <xf numFmtId="173" fontId="11" fillId="0" borderId="0"/>
    <xf numFmtId="173" fontId="28" fillId="61" borderId="54" applyNumberFormat="0" applyProtection="0">
      <alignment horizontal="left" vertical="center" indent="1"/>
    </xf>
    <xf numFmtId="173" fontId="100" fillId="0" borderId="0"/>
    <xf numFmtId="4" fontId="167" fillId="69" borderId="54" applyNumberFormat="0" applyProtection="0">
      <alignment vertical="center"/>
    </xf>
    <xf numFmtId="173" fontId="197" fillId="0" borderId="0"/>
    <xf numFmtId="0" fontId="196" fillId="0" borderId="0"/>
    <xf numFmtId="173" fontId="11" fillId="0" borderId="0"/>
    <xf numFmtId="173" fontId="124" fillId="61" borderId="54" applyNumberFormat="0" applyProtection="0">
      <alignment horizontal="left" vertical="top" indent="1"/>
    </xf>
    <xf numFmtId="173" fontId="100" fillId="0" borderId="0"/>
    <xf numFmtId="173" fontId="11" fillId="0" borderId="0"/>
    <xf numFmtId="171" fontId="248" fillId="0" borderId="0"/>
    <xf numFmtId="173" fontId="198" fillId="59" borderId="0" applyNumberFormat="0" applyBorder="0" applyAlignment="0" applyProtection="0"/>
    <xf numFmtId="173" fontId="51" fillId="0" borderId="0"/>
    <xf numFmtId="173" fontId="198" fillId="59" borderId="0" applyNumberFormat="0" applyBorder="0" applyAlignment="0" applyProtection="0"/>
    <xf numFmtId="173" fontId="35" fillId="20" borderId="0" applyNumberFormat="0" applyBorder="0" applyAlignment="0" applyProtection="0"/>
    <xf numFmtId="0" fontId="249" fillId="0" borderId="0">
      <alignment horizontal="center" textRotation="90"/>
    </xf>
    <xf numFmtId="173" fontId="100" fillId="50" borderId="0" applyNumberFormat="0" applyBorder="0" applyAlignment="0" applyProtection="0"/>
    <xf numFmtId="173" fontId="11" fillId="0" borderId="0"/>
    <xf numFmtId="173" fontId="238" fillId="47" borderId="54" applyNumberFormat="0" applyProtection="0">
      <alignment horizontal="left" vertical="center" indent="1"/>
    </xf>
    <xf numFmtId="43" fontId="11" fillId="0" borderId="0" applyFont="0" applyFill="0" applyBorder="0" applyAlignment="0" applyProtection="0"/>
    <xf numFmtId="173" fontId="11" fillId="0" borderId="0"/>
    <xf numFmtId="43" fontId="51" fillId="0" borderId="0" applyFont="0" applyFill="0" applyBorder="0" applyAlignment="0" applyProtection="0"/>
    <xf numFmtId="173" fontId="124" fillId="61" borderId="54" applyNumberFormat="0" applyProtection="0">
      <alignment horizontal="left" vertical="top" indent="1"/>
    </xf>
    <xf numFmtId="9" fontId="197" fillId="0" borderId="0" applyFont="0" applyFill="0" applyBorder="0" applyAlignment="0" applyProtection="0"/>
    <xf numFmtId="173" fontId="167" fillId="44" borderId="54" applyNumberFormat="0" applyProtection="0">
      <alignment horizontal="left" vertical="top" indent="1"/>
    </xf>
    <xf numFmtId="173" fontId="167" fillId="44" borderId="54" applyNumberFormat="0" applyProtection="0">
      <alignment horizontal="left" vertical="top" indent="1"/>
    </xf>
    <xf numFmtId="173" fontId="11" fillId="0" borderId="0"/>
    <xf numFmtId="9" fontId="197" fillId="0" borderId="0" applyFont="0" applyFill="0" applyBorder="0" applyAlignment="0" applyProtection="0"/>
    <xf numFmtId="173" fontId="51" fillId="0" borderId="0"/>
    <xf numFmtId="173" fontId="100" fillId="51" borderId="0" applyNumberFormat="0" applyBorder="0" applyAlignment="0" applyProtection="0"/>
    <xf numFmtId="0" fontId="99" fillId="0" borderId="0"/>
    <xf numFmtId="173" fontId="51" fillId="0" borderId="0"/>
    <xf numFmtId="173" fontId="100" fillId="48" borderId="0" applyNumberFormat="0" applyBorder="0" applyAlignment="0" applyProtection="0"/>
    <xf numFmtId="202" fontId="19" fillId="0" borderId="0" applyFont="0" applyFill="0" applyBorder="0" applyAlignment="0" applyProtection="0"/>
    <xf numFmtId="0" fontId="11" fillId="0" borderId="0"/>
    <xf numFmtId="173" fontId="233" fillId="0" borderId="0" applyAlignment="0"/>
    <xf numFmtId="173" fontId="198" fillId="88" borderId="0" applyNumberFormat="0" applyBorder="0" applyAlignment="0" applyProtection="0"/>
    <xf numFmtId="0" fontId="105" fillId="0" borderId="0"/>
    <xf numFmtId="0" fontId="105" fillId="0" borderId="0"/>
    <xf numFmtId="0" fontId="105" fillId="0" borderId="0"/>
    <xf numFmtId="0" fontId="215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98" fillId="0" borderId="0" applyNumberFormat="0" applyFill="0" applyBorder="0" applyAlignment="0" applyProtection="0">
      <alignment vertical="top"/>
      <protection locked="0"/>
    </xf>
    <xf numFmtId="173" fontId="199" fillId="48" borderId="0" applyNumberFormat="0" applyBorder="0" applyAlignment="0" applyProtection="0"/>
    <xf numFmtId="4" fontId="167" fillId="69" borderId="54" applyNumberFormat="0" applyProtection="0">
      <alignment vertical="center"/>
    </xf>
    <xf numFmtId="173" fontId="5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05" fillId="0" borderId="0"/>
    <xf numFmtId="0" fontId="51" fillId="0" borderId="0"/>
    <xf numFmtId="43" fontId="5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3" fillId="0" borderId="0"/>
    <xf numFmtId="0" fontId="253" fillId="0" borderId="0" applyFill="0" applyBorder="0"/>
    <xf numFmtId="0" fontId="19" fillId="0" borderId="0"/>
    <xf numFmtId="9" fontId="5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43" fontId="51" fillId="0" borderId="0" applyFont="0" applyFill="0" applyBorder="0" applyAlignment="0" applyProtection="0"/>
    <xf numFmtId="0" fontId="252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9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5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0" fillId="0" borderId="0"/>
    <xf numFmtId="9" fontId="100" fillId="0" borderId="0" applyFill="0" applyBorder="0" applyAlignment="0" applyProtection="0"/>
    <xf numFmtId="207" fontId="100" fillId="0" borderId="0" applyFill="0" applyBorder="0" applyAlignment="0" applyProtection="0"/>
    <xf numFmtId="0" fontId="100" fillId="0" borderId="0"/>
    <xf numFmtId="0" fontId="100" fillId="0" borderId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100" fillId="0" borderId="0"/>
    <xf numFmtId="0" fontId="100" fillId="0" borderId="0"/>
    <xf numFmtId="0" fontId="254" fillId="0" borderId="0" applyNumberFormat="0" applyFill="0" applyBorder="0" applyAlignment="0" applyProtection="0"/>
    <xf numFmtId="207" fontId="100" fillId="0" borderId="0" applyFill="0" applyBorder="0" applyAlignment="0" applyProtection="0"/>
    <xf numFmtId="0" fontId="11" fillId="0" borderId="0"/>
    <xf numFmtId="0" fontId="51" fillId="0" borderId="0"/>
    <xf numFmtId="0" fontId="51" fillId="0" borderId="0"/>
    <xf numFmtId="9" fontId="100" fillId="0" borderId="0" applyFont="0" applyFill="0" applyBorder="0" applyAlignment="0" applyProtection="0"/>
    <xf numFmtId="9" fontId="105" fillId="0" borderId="0" applyFont="0" applyFill="0" applyBorder="0" applyAlignment="0" applyProtection="0"/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9" fontId="10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5" fillId="0" borderId="0"/>
    <xf numFmtId="0" fontId="98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9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51" fillId="0" borderId="0"/>
    <xf numFmtId="0" fontId="216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5" fillId="0" borderId="0"/>
    <xf numFmtId="0" fontId="105" fillId="0" borderId="0"/>
    <xf numFmtId="0" fontId="51" fillId="0" borderId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99" fillId="0" borderId="0"/>
    <xf numFmtId="43" fontId="99" fillId="0" borderId="0" applyFont="0" applyFill="0" applyBorder="0" applyAlignment="0" applyProtection="0"/>
    <xf numFmtId="0" fontId="99" fillId="0" borderId="0"/>
    <xf numFmtId="43" fontId="99" fillId="0" borderId="0" applyFont="0" applyFill="0" applyBorder="0" applyAlignment="0" applyProtection="0"/>
    <xf numFmtId="0" fontId="99" fillId="0" borderId="0"/>
    <xf numFmtId="43" fontId="9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15" fillId="0" borderId="0"/>
    <xf numFmtId="0" fontId="98" fillId="0" borderId="0" applyNumberFormat="0" applyFill="0" applyBorder="0" applyAlignment="0" applyProtection="0">
      <alignment vertical="top"/>
      <protection locked="0"/>
    </xf>
    <xf numFmtId="43" fontId="98" fillId="0" borderId="0" applyFont="0" applyFill="0" applyBorder="0" applyAlignment="0" applyProtection="0">
      <alignment vertical="top"/>
      <protection locked="0"/>
    </xf>
    <xf numFmtId="0" fontId="115" fillId="0" borderId="0"/>
    <xf numFmtId="9" fontId="100" fillId="0" borderId="0" applyFont="0" applyFill="0" applyBorder="0" applyAlignment="0" applyProtection="0"/>
    <xf numFmtId="0" fontId="51" fillId="0" borderId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51" fillId="0" borderId="0"/>
    <xf numFmtId="9" fontId="100" fillId="0" borderId="0" applyFont="0" applyFill="0" applyBorder="0" applyAlignment="0" applyProtection="0"/>
    <xf numFmtId="0" fontId="111" fillId="0" borderId="0"/>
    <xf numFmtId="9" fontId="100" fillId="0" borderId="0" applyFont="0" applyFill="0" applyBorder="0" applyAlignment="0" applyProtection="0"/>
    <xf numFmtId="0" fontId="215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09" fillId="0" borderId="0"/>
    <xf numFmtId="0" fontId="1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3" fillId="0" borderId="0"/>
    <xf numFmtId="0" fontId="103" fillId="95" borderId="0" applyNumberFormat="0" applyFont="0" applyBorder="0" applyAlignment="0" applyProtection="0"/>
    <xf numFmtId="0" fontId="103" fillId="96" borderId="0" applyNumberFormat="0" applyFont="0" applyBorder="0" applyAlignment="0" applyProtection="0"/>
    <xf numFmtId="0" fontId="103" fillId="97" borderId="0" applyNumberFormat="0" applyFont="0" applyBorder="0" applyAlignment="0" applyProtection="0"/>
    <xf numFmtId="0" fontId="103" fillId="98" borderId="0" applyNumberFormat="0" applyFont="0" applyBorder="0" applyAlignment="0" applyProtection="0"/>
    <xf numFmtId="0" fontId="103" fillId="99" borderId="0" applyNumberFormat="0" applyFont="0" applyBorder="0" applyAlignment="0" applyProtection="0"/>
    <xf numFmtId="0" fontId="103" fillId="100" borderId="0" applyNumberFormat="0" applyFont="0" applyBorder="0" applyAlignment="0" applyProtection="0"/>
    <xf numFmtId="0" fontId="103" fillId="101" borderId="0" applyNumberFormat="0" applyFont="0" applyBorder="0" applyAlignment="0" applyProtection="0"/>
    <xf numFmtId="0" fontId="103" fillId="102" borderId="0" applyNumberFormat="0" applyFont="0" applyBorder="0" applyAlignment="0" applyProtection="0"/>
    <xf numFmtId="0" fontId="103" fillId="103" borderId="0" applyNumberFormat="0" applyFont="0" applyBorder="0" applyAlignment="0" applyProtection="0"/>
    <xf numFmtId="0" fontId="103" fillId="104" borderId="0" applyNumberFormat="0" applyFont="0" applyBorder="0" applyAlignment="0" applyProtection="0"/>
    <xf numFmtId="0" fontId="103" fillId="105" borderId="0" applyNumberFormat="0" applyFont="0" applyBorder="0" applyAlignment="0" applyProtection="0"/>
    <xf numFmtId="0" fontId="103" fillId="106" borderId="0" applyNumberFormat="0" applyFont="0" applyBorder="0" applyAlignment="0" applyProtection="0"/>
    <xf numFmtId="0" fontId="255" fillId="107" borderId="0" applyNumberFormat="0" applyBorder="0" applyAlignment="0" applyProtection="0"/>
    <xf numFmtId="0" fontId="255" fillId="108" borderId="0" applyNumberFormat="0" applyBorder="0" applyAlignment="0" applyProtection="0"/>
    <xf numFmtId="0" fontId="255" fillId="109" borderId="0" applyNumberFormat="0" applyBorder="0" applyAlignment="0" applyProtection="0"/>
    <xf numFmtId="0" fontId="255" fillId="110" borderId="0" applyNumberFormat="0" applyBorder="0" applyAlignment="0" applyProtection="0"/>
    <xf numFmtId="0" fontId="255" fillId="111" borderId="0" applyNumberFormat="0" applyBorder="0" applyAlignment="0" applyProtection="0"/>
    <xf numFmtId="0" fontId="255" fillId="112" borderId="0" applyNumberFormat="0" applyBorder="0" applyAlignment="0" applyProtection="0"/>
    <xf numFmtId="0" fontId="256" fillId="113" borderId="0" applyNumberFormat="0" applyBorder="0" applyAlignment="0" applyProtection="0"/>
    <xf numFmtId="0" fontId="257" fillId="114" borderId="22" applyNumberFormat="0" applyAlignment="0" applyProtection="0"/>
    <xf numFmtId="0" fontId="258" fillId="0" borderId="56" applyNumberFormat="0" applyFill="0" applyAlignment="0" applyProtection="0"/>
    <xf numFmtId="0" fontId="259" fillId="0" borderId="57" applyNumberFormat="0" applyFill="0" applyAlignment="0" applyProtection="0"/>
    <xf numFmtId="0" fontId="260" fillId="0" borderId="58" applyNumberFormat="0" applyFill="0" applyAlignment="0" applyProtection="0"/>
    <xf numFmtId="0" fontId="260" fillId="0" borderId="0" applyNumberFormat="0" applyFill="0" applyBorder="0" applyAlignment="0" applyProtection="0"/>
    <xf numFmtId="0" fontId="261" fillId="115" borderId="0" applyNumberFormat="0" applyBorder="0" applyAlignment="0" applyProtection="0"/>
    <xf numFmtId="0" fontId="103" fillId="116" borderId="26" applyNumberFormat="0" applyFont="0" applyAlignment="0" applyProtection="0"/>
    <xf numFmtId="0" fontId="262" fillId="0" borderId="27" applyNumberFormat="0" applyFill="0" applyAlignment="0" applyProtection="0"/>
    <xf numFmtId="0" fontId="263" fillId="0" borderId="59" applyNumberFormat="0" applyFill="0" applyAlignment="0" applyProtection="0"/>
    <xf numFmtId="0" fontId="218" fillId="0" borderId="0" applyNumberFormat="0" applyFill="0" applyBorder="0" applyAlignment="0" applyProtection="0"/>
    <xf numFmtId="0" fontId="264" fillId="0" borderId="0" applyNumberFormat="0" applyFill="0" applyBorder="0" applyAlignment="0" applyProtection="0"/>
    <xf numFmtId="0" fontId="265" fillId="117" borderId="29" applyNumberFormat="0" applyAlignment="0" applyProtection="0"/>
    <xf numFmtId="0" fontId="266" fillId="117" borderId="30" applyNumberFormat="0" applyAlignment="0" applyProtection="0"/>
    <xf numFmtId="0" fontId="267" fillId="118" borderId="29" applyNumberFormat="0" applyAlignment="0" applyProtection="0"/>
    <xf numFmtId="0" fontId="268" fillId="0" borderId="0" applyNumberFormat="0" applyFill="0" applyBorder="0" applyAlignment="0" applyProtection="0"/>
    <xf numFmtId="0" fontId="269" fillId="119" borderId="0" applyNumberFormat="0" applyBorder="0" applyAlignment="0" applyProtection="0"/>
    <xf numFmtId="0" fontId="255" fillId="120" borderId="0" applyNumberFormat="0" applyBorder="0" applyAlignment="0" applyProtection="0"/>
    <xf numFmtId="0" fontId="255" fillId="121" borderId="0" applyNumberFormat="0" applyBorder="0" applyAlignment="0" applyProtection="0"/>
    <xf numFmtId="0" fontId="255" fillId="122" borderId="0" applyNumberFormat="0" applyBorder="0" applyAlignment="0" applyProtection="0"/>
    <xf numFmtId="0" fontId="255" fillId="123" borderId="0" applyNumberFormat="0" applyBorder="0" applyAlignment="0" applyProtection="0"/>
    <xf numFmtId="0" fontId="255" fillId="124" borderId="0" applyNumberFormat="0" applyBorder="0" applyAlignment="0" applyProtection="0"/>
    <xf numFmtId="0" fontId="255" fillId="125" borderId="0" applyNumberFormat="0" applyBorder="0" applyAlignment="0" applyProtection="0"/>
    <xf numFmtId="0" fontId="19" fillId="0" borderId="0"/>
    <xf numFmtId="0" fontId="98" fillId="0" borderId="0" applyNumberFormat="0" applyFill="0" applyBorder="0" applyAlignment="0" applyProtection="0">
      <alignment vertical="top"/>
      <protection locked="0"/>
    </xf>
    <xf numFmtId="168" fontId="19" fillId="0" borderId="0" applyFont="0" applyFill="0" applyBorder="0" applyAlignment="0" applyProtection="0"/>
    <xf numFmtId="0" fontId="111" fillId="0" borderId="0"/>
    <xf numFmtId="0" fontId="100" fillId="0" borderId="0"/>
    <xf numFmtId="0" fontId="11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11" fillId="0" borderId="0"/>
    <xf numFmtId="0" fontId="51" fillId="0" borderId="0" applyNumberFormat="0" applyFill="0" applyBorder="0" applyAlignment="0" applyProtection="0"/>
    <xf numFmtId="0" fontId="270" fillId="0" borderId="0"/>
    <xf numFmtId="0" fontId="109" fillId="0" borderId="0"/>
    <xf numFmtId="0" fontId="100" fillId="0" borderId="0"/>
    <xf numFmtId="0" fontId="51" fillId="0" borderId="0" applyNumberFormat="0" applyFill="0" applyBorder="0" applyAlignment="0" applyProtection="0"/>
    <xf numFmtId="0" fontId="10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0" fontId="9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03" fillId="0" borderId="0"/>
    <xf numFmtId="0" fontId="51" fillId="0" borderId="0"/>
    <xf numFmtId="0" fontId="271" fillId="0" borderId="0"/>
    <xf numFmtId="0" fontId="51" fillId="0" borderId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9" fontId="99" fillId="0" borderId="0" applyFont="0" applyFill="0" applyBorder="0" applyAlignment="0" applyProtection="0"/>
    <xf numFmtId="0" fontId="101" fillId="0" borderId="0">
      <alignment vertical="top"/>
    </xf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0" fillId="4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0" fillId="4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0" fillId="4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0" fillId="5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0" fillId="5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0" fillId="5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0" fillId="5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5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5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0" fillId="5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5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56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6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2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98" fillId="0" borderId="0" applyFon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8" fillId="0" borderId="0" applyFont="0" applyFill="0" applyBorder="0" applyAlignment="0" applyProtection="0">
      <alignment vertical="top"/>
      <protection locked="0"/>
    </xf>
    <xf numFmtId="43" fontId="98" fillId="0" borderId="0" applyFon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8" fillId="0" borderId="0" applyFon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5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1" fillId="0" borderId="0">
      <alignment vertical="top"/>
    </xf>
    <xf numFmtId="173" fontId="10" fillId="0" borderId="0"/>
    <xf numFmtId="173" fontId="10" fillId="0" borderId="0"/>
    <xf numFmtId="0" fontId="98" fillId="0" borderId="0" applyNumberFormat="0" applyFill="0" applyBorder="0" applyAlignment="0" applyProtection="0">
      <protection locked="0"/>
    </xf>
    <xf numFmtId="0" fontId="101" fillId="0" borderId="0">
      <alignment vertical="top"/>
    </xf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0" fillId="0" borderId="0"/>
    <xf numFmtId="0" fontId="10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1" fillId="0" borderId="0">
      <alignment vertical="top"/>
    </xf>
    <xf numFmtId="0" fontId="51" fillId="0" borderId="0"/>
    <xf numFmtId="173" fontId="10" fillId="0" borderId="0"/>
    <xf numFmtId="173" fontId="10" fillId="0" borderId="0"/>
    <xf numFmtId="0" fontId="10" fillId="0" borderId="0"/>
    <xf numFmtId="0" fontId="99" fillId="0" borderId="0"/>
    <xf numFmtId="0" fontId="9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51" fillId="0" borderId="0"/>
    <xf numFmtId="0" fontId="101" fillId="0" borderId="0">
      <alignment vertical="top"/>
    </xf>
    <xf numFmtId="0" fontId="101" fillId="0" borderId="0">
      <alignment vertical="top"/>
    </xf>
    <xf numFmtId="173" fontId="10" fillId="0" borderId="0"/>
    <xf numFmtId="173" fontId="10" fillId="0" borderId="0"/>
    <xf numFmtId="0" fontId="51" fillId="0" borderId="0"/>
    <xf numFmtId="172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173" fontId="10" fillId="0" borderId="0"/>
    <xf numFmtId="0" fontId="115" fillId="0" borderId="0">
      <alignment vertical="top"/>
    </xf>
    <xf numFmtId="173" fontId="10" fillId="0" borderId="0"/>
    <xf numFmtId="173" fontId="10" fillId="0" borderId="0"/>
    <xf numFmtId="0" fontId="19" fillId="0" borderId="0"/>
    <xf numFmtId="173" fontId="10" fillId="0" borderId="0"/>
    <xf numFmtId="0" fontId="115" fillId="0" borderId="0">
      <alignment vertical="top"/>
    </xf>
    <xf numFmtId="0" fontId="10" fillId="0" borderId="0"/>
    <xf numFmtId="0" fontId="10" fillId="0" borderId="0"/>
    <xf numFmtId="173" fontId="10" fillId="0" borderId="0"/>
    <xf numFmtId="173" fontId="10" fillId="0" borderId="0"/>
    <xf numFmtId="0" fontId="81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2" fontId="10" fillId="0" borderId="0"/>
    <xf numFmtId="172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5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173" fontId="10" fillId="0" borderId="0"/>
    <xf numFmtId="173" fontId="10" fillId="0" borderId="0"/>
    <xf numFmtId="0" fontId="10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54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5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0" fontId="10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protection locked="0"/>
    </xf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98" fillId="0" borderId="0" applyNumberFormat="0" applyFill="0" applyBorder="0" applyAlignment="0" applyProtection="0">
      <protection locked="0"/>
    </xf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9" fillId="0" borderId="0"/>
    <xf numFmtId="0" fontId="51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>
      <alignment vertical="top"/>
    </xf>
    <xf numFmtId="0" fontId="51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9" fillId="0" borderId="0"/>
    <xf numFmtId="0" fontId="9" fillId="23" borderId="26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86" fillId="0" borderId="0"/>
    <xf numFmtId="0" fontId="86" fillId="0" borderId="0"/>
    <xf numFmtId="0" fontId="86" fillId="0" borderId="0"/>
    <xf numFmtId="0" fontId="100" fillId="0" borderId="0"/>
    <xf numFmtId="0" fontId="51" fillId="0" borderId="0"/>
    <xf numFmtId="0" fontId="101" fillId="0" borderId="0">
      <alignment vertical="top"/>
    </xf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51" fillId="0" borderId="0"/>
    <xf numFmtId="0" fontId="5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9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68" fontId="8" fillId="0" borderId="0" applyFont="0" applyFill="0" applyBorder="0" applyAlignment="0" applyProtection="0"/>
    <xf numFmtId="0" fontId="8" fillId="0" borderId="0"/>
    <xf numFmtId="173" fontId="8" fillId="0" borderId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2" fontId="8" fillId="0" borderId="0"/>
    <xf numFmtId="172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68" fontId="8" fillId="0" borderId="0" applyFont="0" applyFill="0" applyBorder="0" applyAlignment="0" applyProtection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3" fontId="8" fillId="0" borderId="0"/>
    <xf numFmtId="173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2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2" fontId="8" fillId="0" borderId="0"/>
    <xf numFmtId="17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2" fontId="8" fillId="0" borderId="0"/>
    <xf numFmtId="172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117" fillId="86" borderId="0" applyNumberFormat="0" applyBorder="0" applyAlignment="0" applyProtection="0"/>
    <xf numFmtId="0" fontId="117" fillId="87" borderId="0" applyNumberFormat="0" applyBorder="0" applyAlignment="0" applyProtection="0"/>
    <xf numFmtId="0" fontId="117" fillId="88" borderId="0" applyNumberFormat="0" applyBorder="0" applyAlignment="0" applyProtection="0"/>
    <xf numFmtId="0" fontId="117" fillId="58" borderId="0" applyNumberFormat="0" applyBorder="0" applyAlignment="0" applyProtection="0"/>
    <xf numFmtId="0" fontId="117" fillId="59" borderId="0" applyNumberFormat="0" applyBorder="0" applyAlignment="0" applyProtection="0"/>
    <xf numFmtId="0" fontId="117" fillId="89" borderId="0" applyNumberFormat="0" applyBorder="0" applyAlignment="0" applyProtection="0"/>
    <xf numFmtId="0" fontId="190" fillId="48" borderId="0" applyNumberFormat="0" applyBorder="0" applyAlignment="0" applyProtection="0"/>
    <xf numFmtId="0" fontId="187" fillId="61" borderId="36" applyNumberFormat="0" applyAlignment="0" applyProtection="0"/>
    <xf numFmtId="43" fontId="100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20" borderId="0" applyNumberFormat="0" applyBorder="0" applyAlignment="0" applyProtection="0"/>
    <xf numFmtId="0" fontId="189" fillId="0" borderId="0" applyNumberFormat="0" applyFill="0" applyBorder="0" applyAlignment="0" applyProtection="0"/>
    <xf numFmtId="0" fontId="152" fillId="0" borderId="46" applyNumberFormat="0" applyFill="0" applyAlignment="0" applyProtection="0"/>
    <xf numFmtId="0" fontId="153" fillId="0" borderId="47" applyNumberFormat="0" applyFill="0" applyAlignment="0" applyProtection="0"/>
    <xf numFmtId="0" fontId="154" fillId="0" borderId="48" applyNumberFormat="0" applyFill="0" applyAlignment="0" applyProtection="0"/>
    <xf numFmtId="0" fontId="154" fillId="0" borderId="0" applyNumberFormat="0" applyFill="0" applyBorder="0" applyAlignment="0" applyProtection="0"/>
    <xf numFmtId="0" fontId="124" fillId="0" borderId="55"/>
    <xf numFmtId="0" fontId="145" fillId="65" borderId="44" applyNumberFormat="0" applyAlignment="0" applyProtection="0"/>
    <xf numFmtId="0" fontId="186" fillId="52" borderId="36" applyNumberFormat="0" applyAlignment="0" applyProtection="0"/>
    <xf numFmtId="0" fontId="186" fillId="52" borderId="36" applyNumberFormat="0" applyAlignment="0" applyProtection="0"/>
    <xf numFmtId="0" fontId="163" fillId="0" borderId="38" applyNumberFormat="0" applyFill="0" applyAlignment="0" applyProtection="0"/>
    <xf numFmtId="0" fontId="156" fillId="69" borderId="0" applyNumberFormat="0" applyBorder="0" applyAlignment="0" applyProtection="0"/>
    <xf numFmtId="0" fontId="51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51" fillId="0" borderId="0"/>
    <xf numFmtId="0" fontId="7" fillId="0" borderId="0"/>
    <xf numFmtId="0" fontId="99" fillId="0" borderId="0"/>
    <xf numFmtId="0" fontId="7" fillId="0" borderId="0"/>
    <xf numFmtId="0" fontId="99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108" fillId="0" borderId="0">
      <alignment vertical="top"/>
    </xf>
    <xf numFmtId="0" fontId="99" fillId="0" borderId="0"/>
    <xf numFmtId="0" fontId="108" fillId="0" borderId="0">
      <alignment vertical="top"/>
    </xf>
    <xf numFmtId="0" fontId="253" fillId="0" borderId="0"/>
    <xf numFmtId="0" fontId="7" fillId="0" borderId="0"/>
    <xf numFmtId="0" fontId="109" fillId="0" borderId="0"/>
    <xf numFmtId="0" fontId="7" fillId="0" borderId="0"/>
    <xf numFmtId="0" fontId="7" fillId="0" borderId="0"/>
    <xf numFmtId="0" fontId="103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6" fillId="0" borderId="0"/>
    <xf numFmtId="0" fontId="7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17" fillId="0" borderId="0"/>
    <xf numFmtId="0" fontId="7" fillId="0" borderId="0"/>
    <xf numFmtId="0" fontId="115" fillId="62" borderId="39" applyNumberFormat="0" applyFont="0" applyAlignment="0" applyProtection="0"/>
    <xf numFmtId="0" fontId="188" fillId="61" borderId="49" applyNumberFormat="0" applyAlignment="0" applyProtection="0"/>
    <xf numFmtId="9" fontId="7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2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95" fillId="0" borderId="0"/>
    <xf numFmtId="0" fontId="51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9" fontId="5" fillId="0" borderId="0" applyFont="0" applyFill="0" applyBorder="0" applyAlignment="0" applyProtection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0" fontId="5" fillId="0" borderId="0"/>
    <xf numFmtId="0" fontId="5" fillId="0" borderId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2" fontId="5" fillId="0" borderId="0"/>
    <xf numFmtId="172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1" fillId="0" borderId="0"/>
    <xf numFmtId="0" fontId="124" fillId="0" borderId="31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95" fillId="0" borderId="0"/>
    <xf numFmtId="0" fontId="5" fillId="0" borderId="0"/>
    <xf numFmtId="9" fontId="9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0" fontId="5" fillId="0" borderId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2" fontId="5" fillId="0" borderId="0"/>
    <xf numFmtId="172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1" fillId="0" borderId="0"/>
    <xf numFmtId="0" fontId="5" fillId="0" borderId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0" fontId="186" fillId="52" borderId="36" applyNumberFormat="0" applyAlignment="0" applyProtection="0"/>
    <xf numFmtId="43" fontId="5" fillId="0" borderId="0" applyFont="0" applyFill="0" applyBorder="0" applyAlignment="0" applyProtection="0"/>
    <xf numFmtId="0" fontId="186" fillId="52" borderId="36" applyNumberFormat="0" applyAlignment="0" applyProtection="0"/>
    <xf numFmtId="0" fontId="4" fillId="0" borderId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168" fontId="19" fillId="0" borderId="0" applyFont="0" applyFill="0" applyBorder="0" applyAlignment="0" applyProtection="0"/>
    <xf numFmtId="0" fontId="35" fillId="20" borderId="0" applyNumberFormat="0" applyBorder="0" applyAlignment="0" applyProtection="0"/>
    <xf numFmtId="0" fontId="101" fillId="0" borderId="0">
      <alignment vertical="top"/>
    </xf>
    <xf numFmtId="0" fontId="88" fillId="0" borderId="0">
      <alignment vertical="top"/>
    </xf>
    <xf numFmtId="0" fontId="87" fillId="0" borderId="0"/>
    <xf numFmtId="0" fontId="85" fillId="0" borderId="0">
      <alignment vertical="top"/>
    </xf>
    <xf numFmtId="0" fontId="85" fillId="0" borderId="0">
      <alignment vertical="top"/>
    </xf>
    <xf numFmtId="0" fontId="42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2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51" fillId="0" borderId="0"/>
    <xf numFmtId="168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26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2" fontId="3" fillId="0" borderId="0"/>
    <xf numFmtId="172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124" fillId="0" borderId="55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8" fontId="3" fillId="0" borderId="0" applyFont="0" applyFill="0" applyBorder="0" applyAlignment="0" applyProtection="0"/>
    <xf numFmtId="0" fontId="3" fillId="0" borderId="0"/>
    <xf numFmtId="173" fontId="3" fillId="0" borderId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2" fontId="3" fillId="0" borderId="0"/>
    <xf numFmtId="172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8" fontId="3" fillId="0" borderId="0" applyFont="0" applyFill="0" applyBorder="0" applyAlignment="0" applyProtection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2" fontId="3" fillId="0" borderId="0"/>
    <xf numFmtId="172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1" fillId="0" borderId="0"/>
    <xf numFmtId="0" fontId="2" fillId="0" borderId="0"/>
    <xf numFmtId="0" fontId="5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3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2" fontId="1" fillId="0" borderId="0"/>
    <xf numFmtId="172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0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2" fontId="1" fillId="0" borderId="0"/>
    <xf numFmtId="172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9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vertical="center" wrapText="1"/>
    </xf>
    <xf numFmtId="49" fontId="21" fillId="0" borderId="6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7" xfId="23" applyFont="1" applyFill="1" applyBorder="1" applyAlignment="1">
      <alignment vertical="center" wrapText="1"/>
    </xf>
    <xf numFmtId="49" fontId="20" fillId="0" borderId="4" xfId="0" applyNumberFormat="1" applyFont="1" applyBorder="1" applyAlignment="1">
      <alignment horizontal="center" vertical="center"/>
    </xf>
    <xf numFmtId="49" fontId="20" fillId="0" borderId="2" xfId="23" applyFont="1" applyFill="1" applyBorder="1" applyAlignment="1">
      <alignment vertical="center" wrapText="1"/>
    </xf>
    <xf numFmtId="49" fontId="21" fillId="0" borderId="6" xfId="0" applyNumberFormat="1" applyFont="1" applyBorder="1" applyAlignment="1">
      <alignment vertical="center" wrapText="1"/>
    </xf>
    <xf numFmtId="49" fontId="21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49" fontId="20" fillId="0" borderId="8" xfId="23" applyFont="1" applyFill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21" fillId="0" borderId="2" xfId="23" applyFont="1" applyFill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2" xfId="23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49" fontId="20" fillId="0" borderId="0" xfId="0" applyNumberFormat="1" applyFont="1" applyAlignment="1">
      <alignment horizontal="right" vertical="center"/>
    </xf>
    <xf numFmtId="0" fontId="21" fillId="0" borderId="3" xfId="22" applyFont="1" applyFill="1" applyBorder="1" applyAlignment="1">
      <alignment horizontal="center" vertical="center" wrapText="1"/>
    </xf>
    <xf numFmtId="0" fontId="26" fillId="0" borderId="2" xfId="22" applyFont="1" applyFill="1" applyBorder="1" applyAlignment="1">
      <alignment horizontal="center" vertical="center" wrapText="1"/>
    </xf>
    <xf numFmtId="0" fontId="26" fillId="0" borderId="2" xfId="22" applyFont="1" applyFill="1" applyBorder="1" applyAlignment="1">
      <alignment horizontal="center" vertical="top" wrapText="1"/>
    </xf>
    <xf numFmtId="0" fontId="20" fillId="0" borderId="2" xfId="22" applyFont="1" applyFill="1" applyBorder="1" applyAlignment="1">
      <alignment horizontal="center" vertical="center" wrapText="1"/>
    </xf>
    <xf numFmtId="0" fontId="27" fillId="0" borderId="5" xfId="22" applyFont="1" applyFill="1" applyBorder="1" applyAlignment="1">
      <alignment horizontal="center" vertical="center" wrapText="1"/>
    </xf>
    <xf numFmtId="0" fontId="27" fillId="0" borderId="2" xfId="22" applyFont="1" applyFill="1" applyBorder="1" applyAlignment="1">
      <alignment horizontal="center" vertical="center" wrapText="1"/>
    </xf>
    <xf numFmtId="49" fontId="24" fillId="0" borderId="3" xfId="22" applyNumberFormat="1" applyFont="1" applyFill="1" applyBorder="1" applyAlignment="1">
      <alignment horizontal="center" vertical="center"/>
    </xf>
    <xf numFmtId="0" fontId="21" fillId="0" borderId="2" xfId="22" applyFont="1" applyFill="1" applyBorder="1" applyAlignment="1">
      <alignment vertical="top" wrapText="1"/>
    </xf>
    <xf numFmtId="49" fontId="25" fillId="0" borderId="2" xfId="22" applyNumberFormat="1" applyFont="1" applyFill="1" applyBorder="1" applyAlignment="1">
      <alignment horizontal="center" vertical="center"/>
    </xf>
    <xf numFmtId="49" fontId="25" fillId="0" borderId="3" xfId="22" applyNumberFormat="1" applyFont="1" applyFill="1" applyBorder="1" applyAlignment="1">
      <alignment horizontal="center" vertical="center"/>
    </xf>
    <xf numFmtId="0" fontId="23" fillId="0" borderId="2" xfId="22" applyFont="1" applyFill="1" applyBorder="1" applyAlignment="1">
      <alignment vertical="top" wrapText="1"/>
    </xf>
    <xf numFmtId="49" fontId="24" fillId="0" borderId="2" xfId="22" applyNumberFormat="1" applyFont="1" applyFill="1" applyBorder="1" applyAlignment="1">
      <alignment horizontal="center" vertical="center"/>
    </xf>
    <xf numFmtId="0" fontId="19" fillId="0" borderId="0" xfId="20"/>
    <xf numFmtId="0" fontId="19" fillId="0" borderId="0" xfId="20" applyBorder="1"/>
    <xf numFmtId="49" fontId="20" fillId="0" borderId="0" xfId="24" applyFont="1" applyFill="1" applyBorder="1" applyAlignment="1">
      <alignment horizontal="right" vertical="top" wrapText="1"/>
    </xf>
    <xf numFmtId="49" fontId="20" fillId="0" borderId="0" xfId="24" applyFill="1" applyBorder="1" applyAlignment="1">
      <alignment horizontal="center" vertical="center" wrapText="1"/>
    </xf>
    <xf numFmtId="49" fontId="24" fillId="0" borderId="0" xfId="24" applyFont="1" applyFill="1" applyBorder="1">
      <alignment horizontal="center" vertical="center" wrapText="1"/>
    </xf>
    <xf numFmtId="49" fontId="20" fillId="0" borderId="2" xfId="24" applyFont="1" applyFill="1">
      <alignment horizontal="center" vertical="center" wrapText="1"/>
    </xf>
    <xf numFmtId="0" fontId="25" fillId="0" borderId="2" xfId="25" applyFont="1" applyFill="1" applyBorder="1">
      <alignment horizontal="left" vertical="center" wrapText="1"/>
    </xf>
    <xf numFmtId="49" fontId="20" fillId="0" borderId="2" xfId="24" applyFont="1" applyFill="1" applyBorder="1">
      <alignment horizontal="center" vertical="center" wrapText="1"/>
    </xf>
    <xf numFmtId="0" fontId="25" fillId="0" borderId="2" xfId="25" applyFont="1" applyFill="1">
      <alignment horizontal="left" vertical="center" wrapText="1"/>
    </xf>
    <xf numFmtId="49" fontId="24" fillId="0" borderId="2" xfId="24" applyFont="1" applyFill="1" applyBorder="1">
      <alignment horizontal="center" vertical="center" wrapText="1"/>
    </xf>
    <xf numFmtId="0" fontId="25" fillId="0" borderId="4" xfId="25" applyFont="1" applyFill="1" applyBorder="1">
      <alignment horizontal="left" vertical="center" wrapText="1"/>
    </xf>
    <xf numFmtId="0" fontId="25" fillId="0" borderId="2" xfId="25" applyFont="1" applyFill="1" applyAlignment="1">
      <alignment horizontal="left" vertical="center" wrapText="1"/>
    </xf>
    <xf numFmtId="49" fontId="20" fillId="0" borderId="2" xfId="24" applyFont="1" applyFill="1" applyAlignment="1">
      <alignment horizontal="center" vertical="center" wrapText="1"/>
    </xf>
    <xf numFmtId="0" fontId="25" fillId="0" borderId="2" xfId="25" applyFont="1" applyFill="1" applyAlignment="1">
      <alignment horizontal="left" vertical="top" wrapText="1"/>
    </xf>
    <xf numFmtId="49" fontId="20" fillId="0" borderId="0" xfId="24" applyFont="1" applyFill="1" applyBorder="1">
      <alignment horizontal="center" vertical="center" wrapText="1"/>
    </xf>
    <xf numFmtId="49" fontId="25" fillId="0" borderId="2" xfId="24" applyFont="1" applyFill="1">
      <alignment horizontal="center" vertical="center" wrapText="1"/>
    </xf>
    <xf numFmtId="0" fontId="24" fillId="0" borderId="2" xfId="20" applyFont="1" applyBorder="1" applyAlignment="1">
      <alignment horizontal="center" vertical="center" wrapText="1"/>
    </xf>
    <xf numFmtId="0" fontId="24" fillId="0" borderId="14" xfId="20" applyFont="1" applyBorder="1" applyAlignment="1">
      <alignment horizontal="center" vertical="center" wrapText="1"/>
    </xf>
    <xf numFmtId="0" fontId="24" fillId="0" borderId="5" xfId="20" applyFont="1" applyBorder="1" applyAlignment="1">
      <alignment horizontal="center" vertical="center" wrapText="1"/>
    </xf>
    <xf numFmtId="49" fontId="24" fillId="0" borderId="5" xfId="24" applyFont="1" applyFill="1" applyBorder="1" applyAlignment="1">
      <alignment horizontal="center" vertical="center" wrapText="1"/>
    </xf>
    <xf numFmtId="49" fontId="28" fillId="0" borderId="5" xfId="24" applyFont="1" applyFill="1" applyBorder="1" applyAlignment="1">
      <alignment horizontal="center" vertical="center" wrapText="1"/>
    </xf>
    <xf numFmtId="49" fontId="32" fillId="0" borderId="5" xfId="24" applyFont="1" applyFill="1" applyBorder="1">
      <alignment horizontal="center" vertical="center" wrapText="1"/>
    </xf>
    <xf numFmtId="49" fontId="24" fillId="0" borderId="0" xfId="24" applyFont="1" applyFill="1" applyBorder="1" applyAlignment="1">
      <alignment horizontal="left" vertical="center" wrapText="1"/>
    </xf>
    <xf numFmtId="0" fontId="19" fillId="0" borderId="0" xfId="20" applyFont="1"/>
    <xf numFmtId="49" fontId="24" fillId="0" borderId="2" xfId="24" applyFont="1" applyFill="1">
      <alignment horizontal="center" vertical="center" wrapText="1"/>
    </xf>
    <xf numFmtId="0" fontId="25" fillId="0" borderId="2" xfId="25" applyNumberFormat="1" applyFont="1" applyFill="1" applyBorder="1" applyAlignment="1" applyProtection="1">
      <alignment horizontal="left" vertical="center" wrapText="1"/>
    </xf>
    <xf numFmtId="49" fontId="32" fillId="0" borderId="5" xfId="24" applyFont="1" applyFill="1" applyBorder="1" applyAlignment="1">
      <alignment horizontal="center" vertical="center" wrapText="1"/>
    </xf>
    <xf numFmtId="0" fontId="32" fillId="0" borderId="15" xfId="20" applyFont="1" applyBorder="1" applyAlignment="1">
      <alignment horizontal="center" vertical="center" wrapText="1"/>
    </xf>
    <xf numFmtId="0" fontId="32" fillId="0" borderId="16" xfId="20" applyFont="1" applyBorder="1" applyAlignment="1">
      <alignment horizontal="center" vertical="center" wrapText="1"/>
    </xf>
    <xf numFmtId="164" fontId="20" fillId="0" borderId="0" xfId="0" applyNumberFormat="1" applyFont="1"/>
    <xf numFmtId="3" fontId="19" fillId="0" borderId="0" xfId="20" applyNumberFormat="1" applyFont="1"/>
    <xf numFmtId="49" fontId="20" fillId="0" borderId="3" xfId="22" applyNumberFormat="1" applyFont="1" applyFill="1" applyBorder="1" applyAlignment="1">
      <alignment horizontal="center" vertical="center"/>
    </xf>
    <xf numFmtId="49" fontId="20" fillId="0" borderId="2" xfId="22" applyNumberFormat="1" applyFont="1" applyFill="1" applyBorder="1" applyAlignment="1">
      <alignment horizontal="center" vertical="center"/>
    </xf>
    <xf numFmtId="49" fontId="21" fillId="0" borderId="2" xfId="22" applyNumberFormat="1" applyFont="1" applyFill="1" applyBorder="1" applyAlignment="1">
      <alignment horizontal="center" vertical="center"/>
    </xf>
    <xf numFmtId="49" fontId="20" fillId="0" borderId="0" xfId="0" applyNumberFormat="1" applyFont="1"/>
    <xf numFmtId="49" fontId="20" fillId="0" borderId="20" xfId="23" applyFont="1" applyFill="1" applyBorder="1" applyAlignment="1">
      <alignment vertical="center" wrapText="1"/>
    </xf>
    <xf numFmtId="49" fontId="20" fillId="0" borderId="6" xfId="23" applyFont="1" applyFill="1" applyBorder="1" applyAlignment="1">
      <alignment vertical="center" wrapText="1"/>
    </xf>
    <xf numFmtId="0" fontId="23" fillId="0" borderId="6" xfId="22" applyFont="1" applyFill="1" applyBorder="1" applyAlignment="1">
      <alignment vertical="center" wrapText="1"/>
    </xf>
    <xf numFmtId="0" fontId="22" fillId="0" borderId="6" xfId="22" applyFont="1" applyFill="1" applyBorder="1" applyAlignment="1">
      <alignment vertical="center" wrapText="1"/>
    </xf>
    <xf numFmtId="0" fontId="21" fillId="0" borderId="6" xfId="22" applyFont="1" applyFill="1" applyBorder="1" applyAlignment="1">
      <alignment vertical="center" wrapText="1"/>
    </xf>
    <xf numFmtId="49" fontId="20" fillId="0" borderId="6" xfId="23" applyNumberFormat="1" applyFont="1" applyFill="1" applyBorder="1" applyAlignment="1">
      <alignment vertical="center" wrapText="1"/>
    </xf>
    <xf numFmtId="49" fontId="21" fillId="0" borderId="21" xfId="22" applyNumberFormat="1" applyFont="1" applyFill="1" applyBorder="1" applyAlignment="1">
      <alignment vertical="center" wrapText="1"/>
    </xf>
    <xf numFmtId="0" fontId="23" fillId="0" borderId="6" xfId="22" applyFont="1" applyFill="1" applyBorder="1" applyAlignment="1">
      <alignment vertical="top" wrapText="1"/>
    </xf>
    <xf numFmtId="0" fontId="21" fillId="0" borderId="6" xfId="22" applyFont="1" applyFill="1" applyBorder="1" applyAlignment="1">
      <alignment vertical="center"/>
    </xf>
    <xf numFmtId="0" fontId="22" fillId="0" borderId="15" xfId="20" applyFont="1" applyBorder="1" applyAlignment="1">
      <alignment horizontal="center" vertical="center"/>
    </xf>
    <xf numFmtId="0" fontId="20" fillId="0" borderId="0" xfId="0" applyFont="1" applyFill="1"/>
    <xf numFmtId="0" fontId="71" fillId="0" borderId="0" xfId="0" applyFont="1" applyFill="1" applyAlignment="1">
      <alignment horizontal="center"/>
    </xf>
    <xf numFmtId="0" fontId="72" fillId="0" borderId="0" xfId="0" applyFont="1" applyFill="1" applyBorder="1" applyAlignment="1">
      <alignment horizontal="center" vertical="top"/>
    </xf>
    <xf numFmtId="49" fontId="73" fillId="0" borderId="31" xfId="0" applyNumberFormat="1" applyFont="1" applyFill="1" applyBorder="1" applyAlignment="1">
      <alignment vertical="top"/>
    </xf>
    <xf numFmtId="0" fontId="73" fillId="0" borderId="31" xfId="0" applyNumberFormat="1" applyFont="1" applyFill="1" applyBorder="1" applyAlignment="1" applyProtection="1">
      <alignment horizontal="left" vertical="top"/>
    </xf>
    <xf numFmtId="0" fontId="73" fillId="0" borderId="31" xfId="0" applyFont="1" applyFill="1" applyBorder="1" applyAlignment="1" applyProtection="1">
      <alignment vertical="top" wrapText="1"/>
    </xf>
    <xf numFmtId="3" fontId="73" fillId="0" borderId="31" xfId="0" applyNumberFormat="1" applyFont="1" applyFill="1" applyBorder="1" applyAlignment="1">
      <alignment vertical="top"/>
    </xf>
    <xf numFmtId="3" fontId="73" fillId="0" borderId="31" xfId="0" applyNumberFormat="1" applyFont="1" applyFill="1" applyBorder="1" applyAlignment="1">
      <alignment horizontal="center" vertical="top" wrapText="1"/>
    </xf>
    <xf numFmtId="0" fontId="72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vertical="top" wrapText="1"/>
    </xf>
    <xf numFmtId="0" fontId="72" fillId="0" borderId="0" xfId="0" applyFont="1" applyBorder="1" applyAlignment="1">
      <alignment horizontal="center"/>
    </xf>
    <xf numFmtId="1" fontId="34" fillId="0" borderId="31" xfId="0" applyNumberFormat="1" applyFont="1" applyFill="1" applyBorder="1" applyAlignment="1">
      <alignment horizontal="center"/>
    </xf>
    <xf numFmtId="0" fontId="17" fillId="0" borderId="31" xfId="0" applyFont="1" applyBorder="1" applyAlignment="1">
      <alignment horizontal="left"/>
    </xf>
    <xf numFmtId="0" fontId="17" fillId="0" borderId="31" xfId="0" applyFont="1" applyBorder="1" applyAlignment="1">
      <alignment vertical="center"/>
    </xf>
    <xf numFmtId="3" fontId="72" fillId="0" borderId="31" xfId="0" applyNumberFormat="1" applyFont="1" applyBorder="1"/>
    <xf numFmtId="0" fontId="72" fillId="0" borderId="0" xfId="0" applyFont="1" applyBorder="1"/>
    <xf numFmtId="0" fontId="73" fillId="0" borderId="31" xfId="0" applyNumberFormat="1" applyFont="1" applyBorder="1" applyAlignment="1" applyProtection="1">
      <alignment horizontal="left" vertical="top" wrapText="1"/>
    </xf>
    <xf numFmtId="0" fontId="73" fillId="0" borderId="31" xfId="0" applyFont="1" applyBorder="1" applyAlignment="1" applyProtection="1">
      <alignment vertical="top" wrapText="1"/>
    </xf>
    <xf numFmtId="0" fontId="73" fillId="0" borderId="31" xfId="0" quotePrefix="1" applyNumberFormat="1" applyFont="1" applyBorder="1" applyAlignment="1" applyProtection="1">
      <alignment horizontal="left" vertical="top" wrapText="1"/>
    </xf>
    <xf numFmtId="49" fontId="72" fillId="0" borderId="31" xfId="0" applyNumberFormat="1" applyFont="1" applyBorder="1"/>
    <xf numFmtId="167" fontId="72" fillId="0" borderId="31" xfId="0" quotePrefix="1" applyNumberFormat="1" applyFont="1" applyBorder="1" applyAlignment="1" applyProtection="1">
      <alignment horizontal="left" vertical="top" wrapText="1"/>
    </xf>
    <xf numFmtId="0" fontId="17" fillId="0" borderId="31" xfId="0" applyFont="1" applyBorder="1"/>
    <xf numFmtId="167" fontId="72" fillId="0" borderId="31" xfId="0" applyNumberFormat="1" applyFont="1" applyBorder="1" applyAlignment="1" applyProtection="1">
      <alignment horizontal="left" vertical="top" wrapText="1"/>
    </xf>
    <xf numFmtId="167" fontId="73" fillId="0" borderId="31" xfId="0" quotePrefix="1" applyNumberFormat="1" applyFont="1" applyBorder="1" applyAlignment="1" applyProtection="1">
      <alignment horizontal="left" vertical="top" wrapText="1"/>
    </xf>
    <xf numFmtId="167" fontId="72" fillId="37" borderId="31" xfId="0" quotePrefix="1" applyNumberFormat="1" applyFont="1" applyFill="1" applyBorder="1" applyAlignment="1" applyProtection="1">
      <alignment horizontal="left" vertical="top" wrapText="1"/>
    </xf>
    <xf numFmtId="0" fontId="17" fillId="37" borderId="31" xfId="0" applyFont="1" applyFill="1" applyBorder="1"/>
    <xf numFmtId="3" fontId="72" fillId="37" borderId="31" xfId="0" applyNumberFormat="1" applyFont="1" applyFill="1" applyBorder="1"/>
    <xf numFmtId="167" fontId="72" fillId="36" borderId="31" xfId="0" quotePrefix="1" applyNumberFormat="1" applyFont="1" applyFill="1" applyBorder="1" applyAlignment="1" applyProtection="1">
      <alignment horizontal="left" vertical="top" wrapText="1"/>
    </xf>
    <xf numFmtId="0" fontId="17" fillId="36" borderId="31" xfId="0" applyFont="1" applyFill="1" applyBorder="1"/>
    <xf numFmtId="3" fontId="72" fillId="36" borderId="31" xfId="0" applyNumberFormat="1" applyFont="1" applyFill="1" applyBorder="1"/>
    <xf numFmtId="3" fontId="72" fillId="0" borderId="0" xfId="0" applyNumberFormat="1" applyFont="1" applyBorder="1" applyAlignment="1">
      <alignment horizontal="center"/>
    </xf>
    <xf numFmtId="0" fontId="74" fillId="0" borderId="31" xfId="0" applyFont="1" applyBorder="1" applyAlignment="1">
      <alignment horizontal="left" vertical="center"/>
    </xf>
    <xf numFmtId="0" fontId="73" fillId="0" borderId="31" xfId="0" applyNumberFormat="1" applyFont="1" applyBorder="1" applyAlignment="1" applyProtection="1">
      <alignment vertical="top" wrapText="1"/>
    </xf>
    <xf numFmtId="0" fontId="17" fillId="0" borderId="31" xfId="0" applyFont="1" applyBorder="1" applyAlignment="1">
      <alignment horizontal="left" vertical="center"/>
    </xf>
    <xf numFmtId="0" fontId="75" fillId="37" borderId="31" xfId="0" applyFont="1" applyFill="1" applyBorder="1" applyAlignment="1">
      <alignment horizontal="left" vertical="center"/>
    </xf>
    <xf numFmtId="0" fontId="75" fillId="36" borderId="31" xfId="0" applyFont="1" applyFill="1" applyBorder="1" applyAlignment="1">
      <alignment horizontal="left" vertical="center"/>
    </xf>
    <xf numFmtId="0" fontId="75" fillId="0" borderId="31" xfId="0" applyFont="1" applyBorder="1" applyAlignment="1">
      <alignment horizontal="left" vertical="center"/>
    </xf>
    <xf numFmtId="0" fontId="75" fillId="0" borderId="31" xfId="0" applyFont="1" applyBorder="1" applyAlignment="1">
      <alignment horizontal="justify" vertical="center"/>
    </xf>
    <xf numFmtId="0" fontId="17" fillId="37" borderId="31" xfId="0" applyFont="1" applyFill="1" applyBorder="1" applyAlignment="1">
      <alignment horizontal="left" vertical="center"/>
    </xf>
    <xf numFmtId="0" fontId="17" fillId="36" borderId="31" xfId="0" applyFont="1" applyFill="1" applyBorder="1" applyAlignment="1">
      <alignment horizontal="left" vertical="center"/>
    </xf>
    <xf numFmtId="0" fontId="17" fillId="34" borderId="31" xfId="0" applyFont="1" applyFill="1" applyBorder="1" applyAlignment="1">
      <alignment horizontal="left" vertical="center"/>
    </xf>
    <xf numFmtId="0" fontId="17" fillId="34" borderId="31" xfId="0" applyFont="1" applyFill="1" applyBorder="1"/>
    <xf numFmtId="3" fontId="72" fillId="34" borderId="31" xfId="0" applyNumberFormat="1" applyFont="1" applyFill="1" applyBorder="1"/>
    <xf numFmtId="0" fontId="76" fillId="0" borderId="31" xfId="0" applyFont="1" applyBorder="1" applyAlignment="1">
      <alignment horizontal="left" vertical="center"/>
    </xf>
    <xf numFmtId="0" fontId="17" fillId="0" borderId="31" xfId="0" applyFont="1" applyFill="1" applyBorder="1" applyAlignment="1">
      <alignment horizontal="left" vertical="center"/>
    </xf>
    <xf numFmtId="0" fontId="17" fillId="0" borderId="31" xfId="0" applyFont="1" applyFill="1" applyBorder="1"/>
    <xf numFmtId="3" fontId="72" fillId="0" borderId="31" xfId="0" applyNumberFormat="1" applyFont="1" applyFill="1" applyBorder="1"/>
    <xf numFmtId="0" fontId="43" fillId="0" borderId="31" xfId="0" applyFont="1" applyBorder="1"/>
    <xf numFmtId="0" fontId="17" fillId="0" borderId="31" xfId="0" applyFont="1" applyBorder="1" applyAlignment="1">
      <alignment horizontal="justify" vertical="center"/>
    </xf>
    <xf numFmtId="0" fontId="76" fillId="0" borderId="31" xfId="0" applyFont="1" applyBorder="1" applyAlignment="1">
      <alignment horizontal="justify" vertical="center"/>
    </xf>
    <xf numFmtId="0" fontId="75" fillId="37" borderId="31" xfId="0" applyFont="1" applyFill="1" applyBorder="1" applyAlignment="1">
      <alignment horizontal="justify" vertical="center"/>
    </xf>
    <xf numFmtId="0" fontId="75" fillId="36" borderId="31" xfId="0" applyFont="1" applyFill="1" applyBorder="1" applyAlignment="1">
      <alignment horizontal="justify" vertical="center"/>
    </xf>
    <xf numFmtId="0" fontId="17" fillId="37" borderId="31" xfId="0" applyFont="1" applyFill="1" applyBorder="1" applyAlignment="1">
      <alignment horizontal="justify" vertical="center"/>
    </xf>
    <xf numFmtId="0" fontId="17" fillId="36" borderId="31" xfId="0" applyFont="1" applyFill="1" applyBorder="1" applyAlignment="1">
      <alignment horizontal="justify" vertical="center"/>
    </xf>
    <xf numFmtId="0" fontId="42" fillId="0" borderId="31" xfId="0" applyFont="1" applyBorder="1" applyAlignment="1">
      <alignment horizontal="left" vertical="center"/>
    </xf>
    <xf numFmtId="49" fontId="72" fillId="0" borderId="0" xfId="0" applyNumberFormat="1" applyFont="1" applyBorder="1"/>
    <xf numFmtId="0" fontId="75" fillId="0" borderId="0" xfId="0" applyFont="1" applyBorder="1" applyAlignment="1">
      <alignment horizontal="justify" vertical="center"/>
    </xf>
    <xf numFmtId="0" fontId="17" fillId="0" borderId="0" xfId="0" applyFont="1" applyBorder="1"/>
    <xf numFmtId="3" fontId="72" fillId="0" borderId="0" xfId="0" applyNumberFormat="1" applyFont="1" applyBorder="1"/>
    <xf numFmtId="49" fontId="77" fillId="0" borderId="31" xfId="0" applyNumberFormat="1" applyFont="1" applyBorder="1"/>
    <xf numFmtId="0" fontId="77" fillId="0" borderId="31" xfId="0" applyFont="1" applyBorder="1" applyAlignment="1">
      <alignment horizontal="justify" vertical="center"/>
    </xf>
    <xf numFmtId="0" fontId="77" fillId="0" borderId="31" xfId="0" applyFont="1" applyBorder="1"/>
    <xf numFmtId="3" fontId="77" fillId="0" borderId="31" xfId="0" applyNumberFormat="1" applyFont="1" applyBorder="1"/>
    <xf numFmtId="0" fontId="72" fillId="0" borderId="0" xfId="0" applyFont="1" applyFill="1" applyBorder="1"/>
    <xf numFmtId="0" fontId="72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3" fontId="72" fillId="0" borderId="0" xfId="0" applyNumberFormat="1" applyFont="1" applyFill="1" applyBorder="1" applyAlignment="1">
      <alignment horizontal="center" vertical="center"/>
    </xf>
    <xf numFmtId="14" fontId="42" fillId="0" borderId="0" xfId="0" applyNumberFormat="1" applyFont="1" applyFill="1" applyAlignment="1" applyProtection="1">
      <alignment horizontal="center" vertical="top"/>
      <protection locked="0"/>
    </xf>
    <xf numFmtId="3" fontId="73" fillId="0" borderId="0" xfId="0" applyNumberFormat="1" applyFont="1" applyAlignment="1">
      <alignment vertical="top" wrapText="1"/>
    </xf>
    <xf numFmtId="0" fontId="73" fillId="0" borderId="0" xfId="0" applyFont="1" applyAlignment="1">
      <alignment vertical="top" wrapText="1"/>
    </xf>
    <xf numFmtId="3" fontId="17" fillId="0" borderId="0" xfId="0" applyNumberFormat="1" applyFont="1" applyFill="1"/>
    <xf numFmtId="0" fontId="72" fillId="0" borderId="0" xfId="0" applyFont="1"/>
    <xf numFmtId="3" fontId="43" fillId="0" borderId="0" xfId="0" applyNumberFormat="1" applyFont="1" applyFill="1"/>
    <xf numFmtId="1" fontId="72" fillId="0" borderId="0" xfId="0" applyNumberFormat="1" applyFont="1"/>
    <xf numFmtId="0" fontId="72" fillId="0" borderId="0" xfId="0" applyFont="1" applyFill="1"/>
    <xf numFmtId="0" fontId="17" fillId="38" borderId="0" xfId="0" applyFont="1" applyFill="1"/>
    <xf numFmtId="3" fontId="17" fillId="38" borderId="0" xfId="0" applyNumberFormat="1" applyFont="1" applyFill="1"/>
    <xf numFmtId="0" fontId="42" fillId="38" borderId="0" xfId="0" applyFont="1" applyFill="1" applyAlignment="1">
      <alignment vertical="top"/>
    </xf>
    <xf numFmtId="14" fontId="42" fillId="38" borderId="0" xfId="0" applyNumberFormat="1" applyFont="1" applyFill="1" applyAlignment="1" applyProtection="1">
      <alignment horizontal="center" vertical="top"/>
      <protection locked="0"/>
    </xf>
    <xf numFmtId="0" fontId="78" fillId="0" borderId="0" xfId="0" applyFont="1" applyAlignment="1">
      <alignment vertical="top"/>
    </xf>
    <xf numFmtId="0" fontId="78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>
      <alignment vertical="top" wrapText="1"/>
    </xf>
    <xf numFmtId="0" fontId="79" fillId="0" borderId="0" xfId="0" applyFont="1" applyProtection="1">
      <protection locked="0"/>
    </xf>
    <xf numFmtId="1" fontId="20" fillId="0" borderId="0" xfId="0" applyNumberFormat="1" applyFont="1"/>
    <xf numFmtId="4" fontId="20" fillId="0" borderId="0" xfId="0" applyNumberFormat="1" applyFont="1"/>
    <xf numFmtId="0" fontId="16" fillId="36" borderId="31" xfId="0" applyFont="1" applyFill="1" applyBorder="1"/>
    <xf numFmtId="0" fontId="16" fillId="34" borderId="31" xfId="0" applyFont="1" applyFill="1" applyBorder="1"/>
    <xf numFmtId="0" fontId="79" fillId="0" borderId="0" xfId="0" applyFont="1" applyFill="1" applyProtection="1">
      <protection locked="0"/>
    </xf>
    <xf numFmtId="0" fontId="19" fillId="35" borderId="0" xfId="21" applyNumberFormat="1" applyFont="1" applyFill="1" applyBorder="1" applyAlignment="1" applyProtection="1"/>
    <xf numFmtId="0" fontId="19" fillId="35" borderId="0" xfId="21" applyFont="1" applyFill="1" applyAlignment="1">
      <alignment wrapText="1"/>
    </xf>
    <xf numFmtId="0" fontId="51" fillId="35" borderId="0" xfId="170" applyFill="1" applyAlignment="1">
      <alignment wrapText="1"/>
    </xf>
    <xf numFmtId="0" fontId="19" fillId="35" borderId="0" xfId="21" applyFill="1" applyAlignment="1"/>
    <xf numFmtId="0" fontId="19" fillId="35" borderId="0" xfId="21" applyFill="1" applyBorder="1"/>
    <xf numFmtId="0" fontId="82" fillId="35" borderId="0" xfId="21" applyFont="1" applyFill="1" applyBorder="1"/>
    <xf numFmtId="0" fontId="15" fillId="36" borderId="31" xfId="0" applyFont="1" applyFill="1" applyBorder="1"/>
    <xf numFmtId="0" fontId="15" fillId="37" borderId="31" xfId="0" applyFont="1" applyFill="1" applyBorder="1"/>
    <xf numFmtId="0" fontId="73" fillId="0" borderId="0" xfId="29" applyFont="1" applyFill="1" applyBorder="1"/>
    <xf numFmtId="0" fontId="72" fillId="0" borderId="0" xfId="29" applyFont="1" applyFill="1" applyBorder="1"/>
    <xf numFmtId="0" fontId="84" fillId="0" borderId="0" xfId="29" applyFont="1" applyFill="1" applyBorder="1"/>
    <xf numFmtId="3" fontId="72" fillId="0" borderId="0" xfId="0" applyNumberFormat="1" applyFont="1" applyFill="1" applyBorder="1"/>
    <xf numFmtId="0" fontId="72" fillId="0" borderId="0" xfId="29" applyFont="1" applyBorder="1"/>
    <xf numFmtId="0" fontId="73" fillId="0" borderId="0" xfId="29" applyFont="1" applyFill="1" applyBorder="1" applyAlignment="1">
      <alignment horizontal="left" vertical="center" wrapText="1"/>
    </xf>
    <xf numFmtId="0" fontId="73" fillId="0" borderId="0" xfId="30" applyFont="1" applyFill="1" applyBorder="1" applyAlignment="1" applyProtection="1">
      <alignment horizontal="left" vertical="center" wrapText="1" indent="1"/>
      <protection hidden="1"/>
    </xf>
    <xf numFmtId="0" fontId="73" fillId="0" borderId="0" xfId="29" applyFont="1" applyFill="1" applyBorder="1" applyAlignment="1">
      <alignment horizontal="center"/>
    </xf>
    <xf numFmtId="0" fontId="73" fillId="0" borderId="0" xfId="31" applyFont="1" applyFill="1" applyBorder="1" applyAlignment="1">
      <alignment horizontal="left" vertical="top"/>
    </xf>
    <xf numFmtId="0" fontId="73" fillId="0" borderId="0" xfId="31" applyFont="1" applyFill="1" applyBorder="1" applyAlignment="1">
      <alignment vertical="center"/>
    </xf>
    <xf numFmtId="0" fontId="72" fillId="0" borderId="0" xfId="31" applyFont="1" applyFill="1" applyBorder="1" applyAlignment="1">
      <alignment horizontal="left" vertical="center"/>
    </xf>
    <xf numFmtId="0" fontId="72" fillId="0" borderId="0" xfId="30" applyFont="1" applyFill="1" applyBorder="1" applyAlignment="1" applyProtection="1">
      <alignment vertical="center"/>
      <protection hidden="1"/>
    </xf>
    <xf numFmtId="166" fontId="72" fillId="0" borderId="0" xfId="29" quotePrefix="1" applyNumberFormat="1" applyFont="1" applyFill="1" applyBorder="1" applyAlignment="1">
      <alignment horizontal="center"/>
    </xf>
    <xf numFmtId="0" fontId="72" fillId="0" borderId="0" xfId="29" quotePrefix="1" applyFont="1" applyFill="1" applyBorder="1" applyAlignment="1">
      <alignment horizontal="center"/>
    </xf>
    <xf numFmtId="14" fontId="72" fillId="0" borderId="0" xfId="29" applyNumberFormat="1" applyFont="1" applyFill="1" applyBorder="1" applyAlignment="1" applyProtection="1">
      <alignment horizontal="center"/>
      <protection locked="0"/>
    </xf>
    <xf numFmtId="0" fontId="72" fillId="0" borderId="0" xfId="29" applyNumberFormat="1" applyFont="1" applyFill="1" applyBorder="1" applyAlignment="1">
      <alignment horizontal="center"/>
    </xf>
    <xf numFmtId="0" fontId="72" fillId="0" borderId="0" xfId="29" quotePrefix="1" applyNumberFormat="1" applyFont="1" applyFill="1" applyBorder="1" applyAlignment="1">
      <alignment horizontal="center"/>
    </xf>
    <xf numFmtId="0" fontId="72" fillId="0" borderId="0" xfId="29" applyFont="1" applyBorder="1" applyAlignment="1">
      <alignment horizontal="center"/>
    </xf>
    <xf numFmtId="16" fontId="72" fillId="0" borderId="0" xfId="29" applyNumberFormat="1" applyFont="1" applyFill="1" applyBorder="1" applyAlignment="1">
      <alignment horizontal="center"/>
    </xf>
    <xf numFmtId="0" fontId="73" fillId="0" borderId="0" xfId="29" applyFont="1" applyFill="1" applyBorder="1" applyAlignment="1" applyProtection="1">
      <alignment horizontal="center" vertical="center"/>
      <protection locked="0"/>
    </xf>
    <xf numFmtId="165" fontId="72" fillId="0" borderId="0" xfId="29" applyNumberFormat="1" applyFont="1" applyFill="1" applyBorder="1" applyAlignment="1" applyProtection="1">
      <alignment horizontal="center"/>
      <protection locked="0"/>
    </xf>
    <xf numFmtId="166" fontId="72" fillId="0" borderId="0" xfId="29" quotePrefix="1" applyNumberFormat="1" applyFont="1" applyFill="1" applyBorder="1" applyAlignment="1" applyProtection="1">
      <alignment horizontal="center"/>
    </xf>
    <xf numFmtId="0" fontId="72" fillId="0" borderId="0" xfId="29" applyFont="1" applyFill="1" applyBorder="1" applyProtection="1">
      <protection locked="0"/>
    </xf>
    <xf numFmtId="0" fontId="73" fillId="0" borderId="0" xfId="31" applyFont="1" applyFill="1" applyBorder="1" applyAlignment="1"/>
    <xf numFmtId="0" fontId="73" fillId="0" borderId="0" xfId="31" applyFont="1" applyFill="1" applyBorder="1" applyAlignment="1">
      <alignment vertical="top"/>
    </xf>
    <xf numFmtId="0" fontId="72" fillId="0" borderId="0" xfId="29" applyFont="1" applyFill="1" applyBorder="1" applyAlignment="1">
      <alignment vertical="center"/>
    </xf>
    <xf numFmtId="0" fontId="73" fillId="0" borderId="0" xfId="29" applyFont="1" applyFill="1" applyBorder="1" applyAlignment="1">
      <alignment vertical="center"/>
    </xf>
    <xf numFmtId="0" fontId="72" fillId="0" borderId="0" xfId="29" quotePrefix="1" applyFont="1" applyFill="1" applyBorder="1" applyAlignment="1">
      <alignment horizontal="right"/>
    </xf>
    <xf numFmtId="0" fontId="50" fillId="0" borderId="0" xfId="0" applyFont="1"/>
    <xf numFmtId="49" fontId="32" fillId="0" borderId="0" xfId="171" applyNumberFormat="1" applyFont="1"/>
    <xf numFmtId="49" fontId="50" fillId="0" borderId="0" xfId="171" applyNumberFormat="1" applyFont="1"/>
    <xf numFmtId="0" fontId="50" fillId="0" borderId="0" xfId="171" applyNumberFormat="1" applyFont="1"/>
    <xf numFmtId="2" fontId="32" fillId="0" borderId="0" xfId="171" applyNumberFormat="1" applyFont="1"/>
    <xf numFmtId="4" fontId="50" fillId="0" borderId="0" xfId="171" applyNumberFormat="1" applyFont="1"/>
    <xf numFmtId="0" fontId="32" fillId="0" borderId="0" xfId="0" applyFont="1"/>
    <xf numFmtId="4" fontId="50" fillId="34" borderId="0" xfId="171" applyNumberFormat="1" applyFont="1" applyFill="1"/>
    <xf numFmtId="4" fontId="50" fillId="0" borderId="0" xfId="0" applyNumberFormat="1" applyFont="1"/>
    <xf numFmtId="3" fontId="50" fillId="0" borderId="0" xfId="0" applyNumberFormat="1" applyFont="1"/>
    <xf numFmtId="169" fontId="29" fillId="0" borderId="10" xfId="0" applyNumberFormat="1" applyFont="1" applyBorder="1" applyAlignment="1" applyProtection="1">
      <alignment horizontal="right"/>
    </xf>
    <xf numFmtId="169" fontId="29" fillId="0" borderId="15" xfId="0" applyNumberFormat="1" applyFont="1" applyBorder="1" applyAlignment="1" applyProtection="1">
      <alignment horizontal="right"/>
    </xf>
    <xf numFmtId="169" fontId="30" fillId="0" borderId="10" xfId="0" applyNumberFormat="1" applyFont="1" applyBorder="1" applyAlignment="1" applyProtection="1">
      <alignment horizontal="right"/>
    </xf>
    <xf numFmtId="169" fontId="29" fillId="0" borderId="10" xfId="0" applyNumberFormat="1" applyFont="1" applyFill="1" applyBorder="1" applyAlignment="1" applyProtection="1">
      <alignment horizontal="right"/>
    </xf>
    <xf numFmtId="169" fontId="29" fillId="0" borderId="17" xfId="0" applyNumberFormat="1" applyFont="1" applyBorder="1" applyAlignment="1" applyProtection="1">
      <alignment horizontal="right"/>
    </xf>
    <xf numFmtId="169" fontId="20" fillId="0" borderId="13" xfId="24" applyNumberFormat="1" applyFill="1" applyBorder="1">
      <alignment horizontal="center" vertical="center" wrapText="1"/>
    </xf>
    <xf numFmtId="169" fontId="20" fillId="0" borderId="3" xfId="24" applyNumberFormat="1" applyFill="1" applyBorder="1">
      <alignment horizontal="center" vertical="center" wrapText="1"/>
    </xf>
    <xf numFmtId="169" fontId="20" fillId="0" borderId="11" xfId="24" applyNumberFormat="1" applyFill="1" applyBorder="1">
      <alignment horizontal="center" vertical="center" wrapText="1"/>
    </xf>
    <xf numFmtId="169" fontId="29" fillId="0" borderId="18" xfId="0" applyNumberFormat="1" applyFont="1" applyBorder="1" applyAlignment="1" applyProtection="1">
      <alignment horizontal="right"/>
    </xf>
    <xf numFmtId="169" fontId="20" fillId="0" borderId="7" xfId="24" applyNumberFormat="1" applyFill="1" applyBorder="1">
      <alignment horizontal="center" vertical="center" wrapText="1"/>
    </xf>
    <xf numFmtId="169" fontId="20" fillId="0" borderId="4" xfId="24" applyNumberFormat="1" applyFill="1" applyBorder="1">
      <alignment horizontal="center" vertical="center" wrapText="1"/>
    </xf>
    <xf numFmtId="169" fontId="20" fillId="0" borderId="9" xfId="24" applyNumberFormat="1" applyFill="1" applyBorder="1">
      <alignment horizontal="center" vertical="center" wrapText="1"/>
    </xf>
    <xf numFmtId="49" fontId="50" fillId="0" borderId="0" xfId="182" applyNumberFormat="1" applyFont="1"/>
    <xf numFmtId="49" fontId="32" fillId="0" borderId="0" xfId="182" applyNumberFormat="1" applyFont="1"/>
    <xf numFmtId="2" fontId="32" fillId="0" borderId="0" xfId="182" applyNumberFormat="1" applyFont="1"/>
    <xf numFmtId="4" fontId="50" fillId="0" borderId="0" xfId="182" applyNumberFormat="1" applyFont="1"/>
    <xf numFmtId="49" fontId="50" fillId="39" borderId="0" xfId="182" applyNumberFormat="1" applyFont="1" applyFill="1"/>
    <xf numFmtId="4" fontId="50" fillId="39" borderId="0" xfId="182" applyNumberFormat="1" applyFont="1" applyFill="1"/>
    <xf numFmtId="4" fontId="50" fillId="39" borderId="0" xfId="0" applyNumberFormat="1" applyFont="1" applyFill="1"/>
    <xf numFmtId="49" fontId="50" fillId="0" borderId="0" xfId="183" applyNumberFormat="1" applyFont="1"/>
    <xf numFmtId="4" fontId="50" fillId="0" borderId="0" xfId="183" applyNumberFormat="1" applyFont="1"/>
    <xf numFmtId="4" fontId="50" fillId="40" borderId="0" xfId="0" applyNumberFormat="1" applyFont="1" applyFill="1"/>
    <xf numFmtId="14" fontId="32" fillId="0" borderId="0" xfId="0" applyNumberFormat="1" applyFont="1"/>
    <xf numFmtId="49" fontId="32" fillId="0" borderId="0" xfId="183" applyNumberFormat="1" applyFont="1"/>
    <xf numFmtId="4" fontId="32" fillId="0" borderId="0" xfId="183" applyNumberFormat="1" applyFont="1"/>
    <xf numFmtId="4" fontId="50" fillId="40" borderId="0" xfId="183" applyNumberFormat="1" applyFont="1" applyFill="1"/>
    <xf numFmtId="3" fontId="0" fillId="0" borderId="0" xfId="0" applyNumberFormat="1"/>
    <xf numFmtId="0" fontId="90" fillId="0" borderId="0" xfId="0" applyFont="1" applyAlignment="1">
      <alignment horizontal="left" vertical="center" wrapText="1"/>
    </xf>
    <xf numFmtId="0" fontId="91" fillId="0" borderId="0" xfId="0" applyFont="1" applyAlignment="1">
      <alignment horizontal="left" vertical="center" wrapText="1"/>
    </xf>
    <xf numFmtId="0" fontId="91" fillId="0" borderId="0" xfId="0" applyFont="1" applyAlignment="1">
      <alignment horizontal="right" vertical="center" wrapText="1"/>
    </xf>
    <xf numFmtId="4" fontId="92" fillId="0" borderId="0" xfId="183" applyNumberFormat="1" applyFont="1"/>
    <xf numFmtId="4" fontId="93" fillId="0" borderId="0" xfId="0" applyNumberFormat="1" applyFont="1" applyAlignment="1">
      <alignment horizontal="right" vertical="center" wrapText="1"/>
    </xf>
    <xf numFmtId="0" fontId="93" fillId="0" borderId="0" xfId="0" applyFont="1" applyAlignment="1">
      <alignment horizontal="right" vertical="center" wrapText="1"/>
    </xf>
    <xf numFmtId="4" fontId="94" fillId="0" borderId="0" xfId="0" applyNumberFormat="1" applyFont="1" applyAlignment="1">
      <alignment horizontal="right" vertical="center" wrapText="1"/>
    </xf>
    <xf numFmtId="4" fontId="91" fillId="0" borderId="0" xfId="0" applyNumberFormat="1" applyFont="1" applyAlignment="1">
      <alignment horizontal="right" vertical="center" wrapText="1"/>
    </xf>
    <xf numFmtId="4" fontId="90" fillId="0" borderId="0" xfId="0" applyNumberFormat="1" applyFont="1" applyAlignment="1">
      <alignment horizontal="right" vertical="center" wrapText="1"/>
    </xf>
    <xf numFmtId="0" fontId="93" fillId="0" borderId="0" xfId="0" applyFont="1" applyAlignment="1">
      <alignment horizontal="left" vertical="center" wrapText="1"/>
    </xf>
    <xf numFmtId="0" fontId="91" fillId="0" borderId="0" xfId="0" applyFont="1" applyAlignment="1">
      <alignment horizontal="center" vertical="center" wrapText="1"/>
    </xf>
    <xf numFmtId="0" fontId="94" fillId="0" borderId="0" xfId="0" applyFont="1" applyAlignment="1">
      <alignment horizontal="left" vertical="center" wrapText="1"/>
    </xf>
    <xf numFmtId="4" fontId="96" fillId="0" borderId="0" xfId="0" applyNumberFormat="1" applyFont="1" applyAlignment="1">
      <alignment horizontal="right" vertical="center" wrapText="1"/>
    </xf>
    <xf numFmtId="0" fontId="89" fillId="0" borderId="0" xfId="2647" applyFont="1"/>
    <xf numFmtId="0" fontId="89" fillId="0" borderId="0" xfId="2647" applyFont="1" applyBorder="1" applyAlignment="1">
      <alignment horizontal="left"/>
    </xf>
    <xf numFmtId="0" fontId="89" fillId="0" borderId="0" xfId="2647" applyFont="1" applyAlignment="1">
      <alignment horizontal="left"/>
    </xf>
    <xf numFmtId="4" fontId="89" fillId="0" borderId="0" xfId="2647" applyNumberFormat="1" applyFont="1" applyAlignment="1">
      <alignment horizontal="right"/>
    </xf>
    <xf numFmtId="0" fontId="107" fillId="0" borderId="0" xfId="2647" applyFont="1"/>
    <xf numFmtId="4" fontId="107" fillId="0" borderId="0" xfId="2647" applyNumberFormat="1" applyFont="1" applyAlignment="1">
      <alignment horizontal="right"/>
    </xf>
    <xf numFmtId="0" fontId="217" fillId="0" borderId="0" xfId="175" applyFont="1" applyAlignment="1">
      <alignment horizontal="left" vertical="top"/>
    </xf>
    <xf numFmtId="219" fontId="217" fillId="39" borderId="0" xfId="175" applyNumberFormat="1" applyFont="1" applyFill="1" applyAlignment="1">
      <alignment horizontal="right" vertical="top"/>
    </xf>
    <xf numFmtId="3" fontId="50" fillId="33" borderId="0" xfId="2658" applyNumberFormat="1" applyFont="1" applyFill="1" applyBorder="1" applyAlignment="1"/>
    <xf numFmtId="49" fontId="50" fillId="0" borderId="0" xfId="2658" applyNumberFormat="1" applyFont="1" applyBorder="1" applyAlignment="1"/>
    <xf numFmtId="0" fontId="272" fillId="0" borderId="0" xfId="0" applyFont="1"/>
    <xf numFmtId="1" fontId="217" fillId="0" borderId="0" xfId="175" applyNumberFormat="1" applyFont="1" applyAlignment="1">
      <alignment horizontal="left" vertical="top"/>
    </xf>
    <xf numFmtId="1" fontId="89" fillId="0" borderId="0" xfId="2647" applyNumberFormat="1" applyFont="1" applyAlignment="1">
      <alignment horizontal="left"/>
    </xf>
    <xf numFmtId="1" fontId="50" fillId="0" borderId="0" xfId="0" applyNumberFormat="1" applyFont="1" applyAlignment="1">
      <alignment horizontal="left"/>
    </xf>
    <xf numFmtId="1" fontId="272" fillId="0" borderId="0" xfId="0" applyNumberFormat="1" applyFont="1" applyAlignment="1">
      <alignment horizontal="left"/>
    </xf>
    <xf numFmtId="4" fontId="50" fillId="126" borderId="0" xfId="0" applyNumberFormat="1" applyFont="1" applyFill="1"/>
    <xf numFmtId="0" fontId="89" fillId="0" borderId="0" xfId="2663" applyFont="1" applyBorder="1"/>
    <xf numFmtId="0" fontId="50" fillId="0" borderId="0" xfId="0" applyFont="1" applyBorder="1"/>
    <xf numFmtId="4" fontId="50" fillId="39" borderId="0" xfId="183" applyNumberFormat="1" applyFont="1" applyFill="1"/>
    <xf numFmtId="0" fontId="32" fillId="126" borderId="0" xfId="0" applyFont="1" applyFill="1"/>
    <xf numFmtId="4" fontId="72" fillId="0" borderId="31" xfId="0" applyNumberFormat="1" applyFont="1" applyBorder="1"/>
    <xf numFmtId="4" fontId="72" fillId="36" borderId="31" xfId="0" applyNumberFormat="1" applyFont="1" applyFill="1" applyBorder="1"/>
    <xf numFmtId="4" fontId="72" fillId="0" borderId="0" xfId="0" applyNumberFormat="1" applyFont="1" applyFill="1" applyBorder="1"/>
    <xf numFmtId="14" fontId="21" fillId="33" borderId="0" xfId="0" applyNumberFormat="1" applyFont="1" applyFill="1" applyAlignment="1" applyProtection="1">
      <alignment horizontal="center" vertical="top"/>
      <protection locked="0"/>
    </xf>
    <xf numFmtId="0" fontId="51" fillId="0" borderId="0" xfId="2665"/>
    <xf numFmtId="4" fontId="51" fillId="0" borderId="0" xfId="2665" applyNumberFormat="1"/>
    <xf numFmtId="4" fontId="72" fillId="37" borderId="31" xfId="0" applyNumberFormat="1" applyFont="1" applyFill="1" applyBorder="1"/>
    <xf numFmtId="169" fontId="30" fillId="0" borderId="10" xfId="0" applyNumberFormat="1" applyFont="1" applyFill="1" applyBorder="1" applyAlignment="1" applyProtection="1">
      <alignment horizontal="right"/>
    </xf>
    <xf numFmtId="0" fontId="80" fillId="35" borderId="0" xfId="21" applyFont="1" applyFill="1" applyAlignment="1">
      <alignment vertical="center"/>
    </xf>
    <xf numFmtId="0" fontId="19" fillId="35" borderId="60" xfId="21" applyNumberFormat="1" applyFont="1" applyFill="1" applyBorder="1" applyAlignment="1" applyProtection="1">
      <alignment vertical="center"/>
    </xf>
    <xf numFmtId="0" fontId="19" fillId="35" borderId="35" xfId="21" applyNumberFormat="1" applyFont="1" applyFill="1" applyBorder="1" applyAlignment="1" applyProtection="1">
      <alignment vertical="center"/>
    </xf>
    <xf numFmtId="0" fontId="19" fillId="35" borderId="16" xfId="21" applyNumberFormat="1" applyFont="1" applyFill="1" applyBorder="1" applyAlignment="1" applyProtection="1">
      <alignment vertical="center"/>
    </xf>
    <xf numFmtId="0" fontId="22" fillId="35" borderId="0" xfId="21" applyNumberFormat="1" applyFont="1" applyFill="1" applyBorder="1" applyAlignment="1" applyProtection="1"/>
    <xf numFmtId="0" fontId="22" fillId="35" borderId="0" xfId="21" applyFont="1" applyFill="1" applyBorder="1"/>
    <xf numFmtId="0" fontId="19" fillId="35" borderId="0" xfId="21" applyFill="1" applyBorder="1" applyAlignment="1"/>
    <xf numFmtId="0" fontId="274" fillId="35" borderId="0" xfId="21" applyFont="1" applyFill="1" applyAlignment="1"/>
    <xf numFmtId="0" fontId="22" fillId="35" borderId="0" xfId="21" applyFont="1" applyFill="1" applyAlignment="1"/>
    <xf numFmtId="14" fontId="22" fillId="35" borderId="0" xfId="21" applyNumberFormat="1" applyFont="1" applyFill="1" applyAlignment="1">
      <alignment horizontal="left"/>
    </xf>
    <xf numFmtId="0" fontId="20" fillId="35" borderId="0" xfId="0" applyFont="1" applyFill="1" applyAlignment="1">
      <alignment vertical="center" wrapText="1"/>
    </xf>
    <xf numFmtId="14" fontId="22" fillId="35" borderId="0" xfId="21" applyNumberFormat="1" applyFont="1" applyFill="1" applyAlignment="1">
      <alignment vertical="center" wrapText="1"/>
    </xf>
    <xf numFmtId="0" fontId="22" fillId="35" borderId="0" xfId="21" applyNumberFormat="1" applyFont="1" applyFill="1" applyBorder="1" applyAlignment="1" applyProtection="1">
      <alignment vertical="center"/>
    </xf>
    <xf numFmtId="0" fontId="274" fillId="35" borderId="0" xfId="21" applyFont="1" applyFill="1" applyAlignment="1">
      <alignment vertical="center"/>
    </xf>
    <xf numFmtId="0" fontId="22" fillId="35" borderId="0" xfId="21" applyFont="1" applyFill="1" applyBorder="1" applyAlignment="1">
      <alignment vertical="top"/>
    </xf>
    <xf numFmtId="0" fontId="22" fillId="35" borderId="0" xfId="21" applyFont="1" applyFill="1" applyAlignment="1">
      <alignment vertical="top"/>
    </xf>
    <xf numFmtId="0" fontId="20" fillId="35" borderId="15" xfId="0" applyFont="1" applyFill="1" applyBorder="1" applyAlignment="1" applyProtection="1">
      <alignment horizontal="center" vertical="center"/>
    </xf>
    <xf numFmtId="0" fontId="22" fillId="35" borderId="2" xfId="21" applyFont="1" applyFill="1" applyBorder="1" applyAlignment="1">
      <alignment horizontal="center"/>
    </xf>
    <xf numFmtId="0" fontId="22" fillId="35" borderId="0" xfId="21" applyNumberFormat="1" applyFont="1" applyFill="1" applyBorder="1" applyAlignment="1" applyProtection="1">
      <alignment horizontal="left"/>
    </xf>
    <xf numFmtId="0" fontId="22" fillId="35" borderId="0" xfId="21" applyNumberFormat="1" applyFont="1" applyFill="1" applyBorder="1" applyAlignment="1" applyProtection="1">
      <alignment horizontal="right"/>
    </xf>
    <xf numFmtId="0" fontId="22" fillId="35" borderId="4" xfId="21" applyFont="1" applyFill="1" applyBorder="1"/>
    <xf numFmtId="0" fontId="20" fillId="35" borderId="0" xfId="170" applyFont="1" applyFill="1" applyAlignment="1">
      <alignment wrapText="1"/>
    </xf>
    <xf numFmtId="0" fontId="22" fillId="35" borderId="0" xfId="21" applyFont="1" applyFill="1" applyAlignment="1">
      <alignment wrapText="1"/>
    </xf>
    <xf numFmtId="0" fontId="22" fillId="35" borderId="0" xfId="21" applyFont="1" applyFill="1" applyBorder="1" applyAlignment="1">
      <alignment horizontal="center"/>
    </xf>
    <xf numFmtId="0" fontId="22" fillId="35" borderId="0" xfId="21" applyFont="1" applyFill="1" applyBorder="1" applyAlignment="1">
      <alignment horizontal="left"/>
    </xf>
    <xf numFmtId="0" fontId="20" fillId="35" borderId="0" xfId="0" applyFont="1" applyFill="1" applyBorder="1" applyAlignment="1" applyProtection="1">
      <alignment horizontal="center" vertical="center"/>
    </xf>
    <xf numFmtId="0" fontId="23" fillId="35" borderId="0" xfId="21" applyFont="1" applyFill="1" applyBorder="1" applyAlignment="1">
      <alignment horizontal="center"/>
    </xf>
    <xf numFmtId="0" fontId="22" fillId="35" borderId="0" xfId="21" applyFont="1" applyFill="1" applyBorder="1" applyAlignment="1">
      <alignment horizontal="left" vertical="top" wrapText="1"/>
    </xf>
    <xf numFmtId="0" fontId="22" fillId="35" borderId="15" xfId="21" applyNumberFormat="1" applyFont="1" applyFill="1" applyBorder="1" applyAlignment="1" applyProtection="1"/>
    <xf numFmtId="0" fontId="22" fillId="35" borderId="0" xfId="21" applyFont="1" applyFill="1" applyAlignment="1">
      <alignment vertical="top" wrapText="1"/>
    </xf>
    <xf numFmtId="0" fontId="275" fillId="35" borderId="15" xfId="0" applyFont="1" applyFill="1" applyBorder="1" applyAlignment="1" applyProtection="1">
      <alignment horizontal="center" vertical="center"/>
    </xf>
    <xf numFmtId="0" fontId="21" fillId="35" borderId="0" xfId="0" quotePrefix="1" applyFont="1" applyFill="1" applyBorder="1" applyAlignment="1" applyProtection="1">
      <alignment horizontal="center" vertical="center"/>
    </xf>
    <xf numFmtId="0" fontId="83" fillId="35" borderId="61" xfId="21" applyFont="1" applyFill="1" applyBorder="1" applyAlignment="1">
      <alignment vertical="top"/>
    </xf>
    <xf numFmtId="0" fontId="83" fillId="35" borderId="62" xfId="21" applyFont="1" applyFill="1" applyBorder="1" applyAlignment="1">
      <alignment vertical="top" wrapText="1"/>
    </xf>
    <xf numFmtId="0" fontId="22" fillId="35" borderId="62" xfId="21" applyNumberFormat="1" applyFont="1" applyFill="1" applyBorder="1" applyAlignment="1" applyProtection="1"/>
    <xf numFmtId="0" fontId="22" fillId="35" borderId="63" xfId="21" applyNumberFormat="1" applyFont="1" applyFill="1" applyBorder="1" applyAlignment="1" applyProtection="1"/>
    <xf numFmtId="0" fontId="83" fillId="35" borderId="65" xfId="21" applyFont="1" applyFill="1" applyBorder="1" applyAlignment="1">
      <alignment vertical="top" wrapText="1"/>
    </xf>
    <xf numFmtId="0" fontId="83" fillId="35" borderId="0" xfId="21" applyFont="1" applyFill="1" applyBorder="1" applyAlignment="1">
      <alignment vertical="top" wrapText="1"/>
    </xf>
    <xf numFmtId="0" fontId="22" fillId="35" borderId="17" xfId="21" applyNumberFormat="1" applyFont="1" applyFill="1" applyBorder="1" applyAlignment="1" applyProtection="1"/>
    <xf numFmtId="14" fontId="20" fillId="35" borderId="65" xfId="21" applyNumberFormat="1" applyFont="1" applyFill="1" applyBorder="1" applyAlignment="1">
      <alignment vertical="center"/>
    </xf>
    <xf numFmtId="14" fontId="20" fillId="35" borderId="0" xfId="21" applyNumberFormat="1" applyFont="1" applyFill="1" applyBorder="1" applyAlignment="1">
      <alignment vertical="center"/>
    </xf>
    <xf numFmtId="0" fontId="83" fillId="35" borderId="64" xfId="21" applyFont="1" applyFill="1" applyBorder="1" applyAlignment="1">
      <alignment vertical="top" wrapText="1"/>
    </xf>
    <xf numFmtId="0" fontId="83" fillId="35" borderId="34" xfId="21" applyFont="1" applyFill="1" applyBorder="1" applyAlignment="1">
      <alignment vertical="top" wrapText="1"/>
    </xf>
    <xf numFmtId="0" fontId="22" fillId="35" borderId="34" xfId="21" applyNumberFormat="1" applyFont="1" applyFill="1" applyBorder="1" applyAlignment="1" applyProtection="1"/>
    <xf numFmtId="0" fontId="22" fillId="35" borderId="10" xfId="21" applyNumberFormat="1" applyFont="1" applyFill="1" applyBorder="1" applyAlignment="1" applyProtection="1"/>
    <xf numFmtId="165" fontId="72" fillId="127" borderId="0" xfId="29" applyNumberFormat="1" applyFont="1" applyFill="1" applyBorder="1" applyAlignment="1" applyProtection="1">
      <alignment horizontal="center"/>
      <protection locked="0"/>
    </xf>
    <xf numFmtId="0" fontId="73" fillId="127" borderId="0" xfId="31" applyFont="1" applyFill="1" applyBorder="1" applyAlignment="1" applyProtection="1">
      <alignment horizontal="center" vertical="top"/>
      <protection locked="0"/>
    </xf>
    <xf numFmtId="0" fontId="73" fillId="127" borderId="0" xfId="31" applyFont="1" applyFill="1" applyBorder="1" applyAlignment="1" applyProtection="1">
      <alignment horizontal="left" vertical="top"/>
      <protection locked="0"/>
    </xf>
    <xf numFmtId="0" fontId="73" fillId="127" borderId="0" xfId="29" applyFont="1" applyFill="1" applyBorder="1" applyAlignment="1" applyProtection="1">
      <alignment horizontal="center" vertical="center"/>
      <protection locked="0"/>
    </xf>
    <xf numFmtId="0" fontId="72" fillId="127" borderId="0" xfId="29" applyFont="1" applyFill="1" applyBorder="1" applyAlignment="1" applyProtection="1">
      <alignment horizontal="left" vertical="center"/>
      <protection locked="0"/>
    </xf>
    <xf numFmtId="1" fontId="72" fillId="127" borderId="0" xfId="29" applyNumberFormat="1" applyFont="1" applyFill="1" applyBorder="1" applyAlignment="1" applyProtection="1">
      <alignment horizontal="left" vertical="center"/>
      <protection locked="0"/>
    </xf>
    <xf numFmtId="0" fontId="72" fillId="127" borderId="0" xfId="29" applyFont="1" applyFill="1" applyBorder="1" applyAlignment="1" applyProtection="1">
      <alignment horizontal="left"/>
      <protection locked="0"/>
    </xf>
    <xf numFmtId="49" fontId="72" fillId="127" borderId="0" xfId="29" quotePrefix="1" applyNumberFormat="1" applyFont="1" applyFill="1" applyBorder="1" applyAlignment="1" applyProtection="1">
      <alignment horizontal="left"/>
      <protection locked="0"/>
    </xf>
    <xf numFmtId="1" fontId="72" fillId="127" borderId="0" xfId="29" quotePrefix="1" applyNumberFormat="1" applyFont="1" applyFill="1" applyBorder="1" applyAlignment="1" applyProtection="1">
      <alignment horizontal="left"/>
      <protection locked="0"/>
    </xf>
    <xf numFmtId="0" fontId="22" fillId="35" borderId="15" xfId="21" applyFont="1" applyFill="1" applyBorder="1" applyAlignment="1">
      <alignment horizontal="center"/>
    </xf>
    <xf numFmtId="0" fontId="72" fillId="0" borderId="0" xfId="29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right"/>
    </xf>
    <xf numFmtId="49" fontId="20" fillId="0" borderId="2" xfId="0" applyNumberFormat="1" applyFont="1" applyBorder="1" applyAlignment="1">
      <alignment horizontal="left" vertical="center" wrapText="1"/>
    </xf>
    <xf numFmtId="49" fontId="21" fillId="0" borderId="6" xfId="23" applyFont="1" applyFill="1" applyBorder="1" applyAlignment="1">
      <alignment vertical="center" wrapText="1"/>
    </xf>
    <xf numFmtId="3" fontId="0" fillId="0" borderId="66" xfId="0" applyNumberFormat="1" applyBorder="1"/>
    <xf numFmtId="169" fontId="30" fillId="0" borderId="10" xfId="0" applyNumberFormat="1" applyFont="1" applyBorder="1" applyAlignment="1" applyProtection="1">
      <alignment horizontal="center"/>
    </xf>
    <xf numFmtId="0" fontId="19" fillId="0" borderId="0" xfId="20" applyAlignment="1">
      <alignment horizontal="right"/>
    </xf>
    <xf numFmtId="0" fontId="19" fillId="0" borderId="0" xfId="20" applyAlignment="1">
      <alignment horizontal="left"/>
    </xf>
    <xf numFmtId="4" fontId="20" fillId="39" borderId="0" xfId="0" applyNumberFormat="1" applyFont="1" applyFill="1"/>
    <xf numFmtId="0" fontId="20" fillId="39" borderId="0" xfId="0" applyFont="1" applyFill="1"/>
    <xf numFmtId="0" fontId="107" fillId="0" borderId="0" xfId="7974" applyFont="1"/>
    <xf numFmtId="0" fontId="89" fillId="0" borderId="0" xfId="7974" applyFont="1"/>
    <xf numFmtId="4" fontId="89" fillId="0" borderId="0" xfId="7974" applyNumberFormat="1" applyFont="1"/>
    <xf numFmtId="0" fontId="94" fillId="0" borderId="34" xfId="0" applyFont="1" applyBorder="1" applyAlignment="1">
      <alignment horizontal="center" vertical="center" wrapText="1"/>
    </xf>
    <xf numFmtId="14" fontId="50" fillId="0" borderId="0" xfId="0" applyNumberFormat="1" applyFont="1"/>
    <xf numFmtId="0" fontId="92" fillId="0" borderId="0" xfId="0" applyFont="1"/>
    <xf numFmtId="0" fontId="50" fillId="0" borderId="0" xfId="0" applyFont="1" applyAlignment="1">
      <alignment wrapText="1"/>
    </xf>
    <xf numFmtId="4" fontId="32" fillId="0" borderId="0" xfId="0" applyNumberFormat="1" applyFont="1"/>
    <xf numFmtId="49" fontId="50" fillId="0" borderId="0" xfId="0" applyNumberFormat="1" applyFont="1"/>
    <xf numFmtId="0" fontId="50" fillId="0" borderId="0" xfId="0" applyFont="1" applyAlignment="1">
      <alignment horizontal="right"/>
    </xf>
    <xf numFmtId="14" fontId="50" fillId="0" borderId="0" xfId="0" applyNumberFormat="1" applyFont="1" applyAlignment="1">
      <alignment wrapText="1"/>
    </xf>
    <xf numFmtId="1" fontId="50" fillId="0" borderId="0" xfId="0" applyNumberFormat="1" applyFont="1"/>
    <xf numFmtId="0" fontId="273" fillId="0" borderId="62" xfId="0" applyFont="1" applyBorder="1" applyAlignment="1">
      <alignment horizontal="center" vertical="center" wrapText="1"/>
    </xf>
    <xf numFmtId="0" fontId="273" fillId="0" borderId="34" xfId="0" applyFont="1" applyBorder="1" applyAlignment="1">
      <alignment horizontal="left" vertical="center" wrapText="1"/>
    </xf>
    <xf numFmtId="0" fontId="273" fillId="0" borderId="34" xfId="0" applyFont="1" applyBorder="1" applyAlignment="1">
      <alignment horizontal="center" vertical="center" wrapText="1"/>
    </xf>
    <xf numFmtId="43" fontId="91" fillId="0" borderId="0" xfId="0" applyNumberFormat="1" applyFont="1" applyAlignment="1">
      <alignment horizontal="right" vertical="center" wrapText="1"/>
    </xf>
    <xf numFmtId="43" fontId="91" fillId="0" borderId="34" xfId="0" applyNumberFormat="1" applyFont="1" applyBorder="1" applyAlignment="1">
      <alignment horizontal="right" vertical="center" wrapText="1"/>
    </xf>
    <xf numFmtId="0" fontId="91" fillId="0" borderId="34" xfId="0" applyFont="1" applyBorder="1" applyAlignment="1">
      <alignment horizontal="left" vertical="center" wrapText="1"/>
    </xf>
    <xf numFmtId="0" fontId="91" fillId="0" borderId="0" xfId="0" applyFont="1"/>
    <xf numFmtId="4" fontId="91" fillId="0" borderId="0" xfId="0" applyNumberFormat="1" applyFont="1"/>
    <xf numFmtId="4" fontId="277" fillId="41" borderId="0" xfId="0" applyNumberFormat="1" applyFont="1" applyFill="1"/>
    <xf numFmtId="0" fontId="273" fillId="0" borderId="62" xfId="0" applyFont="1" applyBorder="1" applyAlignment="1">
      <alignment horizontal="left" vertical="center" wrapText="1"/>
    </xf>
    <xf numFmtId="0" fontId="96" fillId="0" borderId="34" xfId="0" applyFont="1" applyBorder="1" applyAlignment="1">
      <alignment horizontal="left" vertical="center" wrapText="1"/>
    </xf>
    <xf numFmtId="0" fontId="96" fillId="0" borderId="34" xfId="0" applyFont="1" applyBorder="1" applyAlignment="1">
      <alignment horizontal="center" vertical="center" wrapText="1"/>
    </xf>
    <xf numFmtId="4" fontId="277" fillId="0" borderId="0" xfId="0" applyNumberFormat="1" applyFont="1" applyAlignment="1">
      <alignment horizontal="right" vertical="center" wrapText="1"/>
    </xf>
    <xf numFmtId="43" fontId="91" fillId="0" borderId="0" xfId="0" applyNumberFormat="1" applyFont="1" applyBorder="1" applyAlignment="1">
      <alignment horizontal="right" vertical="center" wrapText="1"/>
    </xf>
    <xf numFmtId="43" fontId="93" fillId="0" borderId="34" xfId="0" applyNumberFormat="1" applyFont="1" applyBorder="1" applyAlignment="1">
      <alignment horizontal="right" vertical="center" wrapText="1"/>
    </xf>
    <xf numFmtId="0" fontId="91" fillId="0" borderId="0" xfId="0" applyFont="1" applyAlignment="1">
      <alignment horizontal="center"/>
    </xf>
    <xf numFmtId="0" fontId="90" fillId="0" borderId="35" xfId="0" applyFont="1" applyBorder="1" applyAlignment="1">
      <alignment horizontal="center" vertical="center" wrapText="1"/>
    </xf>
    <xf numFmtId="14" fontId="90" fillId="0" borderId="35" xfId="0" applyNumberFormat="1" applyFont="1" applyBorder="1" applyAlignment="1">
      <alignment horizontal="right" vertical="center" wrapText="1"/>
    </xf>
    <xf numFmtId="0" fontId="93" fillId="0" borderId="0" xfId="0" applyFont="1" applyBorder="1" applyAlignment="1">
      <alignment horizontal="right" vertical="center" wrapText="1"/>
    </xf>
    <xf numFmtId="0" fontId="90" fillId="0" borderId="34" xfId="0" applyFont="1" applyBorder="1" applyAlignment="1">
      <alignment horizontal="left" vertical="center" wrapText="1"/>
    </xf>
    <xf numFmtId="0" fontId="90" fillId="0" borderId="62" xfId="0" applyFont="1" applyBorder="1" applyAlignment="1">
      <alignment horizontal="center" vertical="center" wrapText="1"/>
    </xf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left" vertical="center" wrapText="1"/>
    </xf>
    <xf numFmtId="0" fontId="90" fillId="0" borderId="34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43" fontId="91" fillId="0" borderId="35" xfId="0" applyNumberFormat="1" applyFont="1" applyBorder="1" applyAlignment="1">
      <alignment horizontal="right" vertical="center" wrapText="1"/>
    </xf>
    <xf numFmtId="0" fontId="91" fillId="0" borderId="0" xfId="0" applyFont="1" applyAlignment="1">
      <alignment horizontal="left" vertical="center" wrapText="1" indent="6"/>
    </xf>
    <xf numFmtId="0" fontId="91" fillId="0" borderId="15" xfId="170" applyFont="1" applyBorder="1" applyAlignment="1">
      <alignment horizontal="center"/>
    </xf>
    <xf numFmtId="0" fontId="91" fillId="0" borderId="15" xfId="0" applyFont="1" applyBorder="1"/>
    <xf numFmtId="4" fontId="91" fillId="0" borderId="15" xfId="0" applyNumberFormat="1" applyFont="1" applyBorder="1"/>
    <xf numFmtId="4" fontId="91" fillId="0" borderId="15" xfId="170" applyNumberFormat="1" applyFont="1" applyBorder="1"/>
    <xf numFmtId="4" fontId="91" fillId="0" borderId="0" xfId="170" applyNumberFormat="1" applyFont="1"/>
    <xf numFmtId="4" fontId="91" fillId="0" borderId="0" xfId="0" applyNumberFormat="1" applyFont="1" applyAlignment="1">
      <alignment horizontal="right" vertical="center"/>
    </xf>
    <xf numFmtId="0" fontId="90" fillId="0" borderId="35" xfId="0" applyFont="1" applyBorder="1"/>
    <xf numFmtId="0" fontId="90" fillId="0" borderId="35" xfId="0" applyFont="1" applyBorder="1" applyAlignment="1">
      <alignment horizontal="center" wrapText="1"/>
    </xf>
    <xf numFmtId="0" fontId="90" fillId="0" borderId="35" xfId="0" applyFont="1" applyBorder="1" applyAlignment="1">
      <alignment horizontal="left" vertical="center"/>
    </xf>
    <xf numFmtId="14" fontId="90" fillId="0" borderId="35" xfId="0" applyNumberFormat="1" applyFont="1" applyBorder="1" applyAlignment="1">
      <alignment horizontal="right" vertical="center"/>
    </xf>
    <xf numFmtId="0" fontId="90" fillId="0" borderId="34" xfId="0" applyFont="1" applyBorder="1" applyAlignment="1">
      <alignment horizontal="left" vertical="center"/>
    </xf>
    <xf numFmtId="4" fontId="93" fillId="0" borderId="0" xfId="0" applyNumberFormat="1" applyFont="1" applyBorder="1" applyAlignment="1">
      <alignment horizontal="right" vertical="center"/>
    </xf>
    <xf numFmtId="4" fontId="94" fillId="0" borderId="35" xfId="0" applyNumberFormat="1" applyFont="1" applyBorder="1" applyAlignment="1">
      <alignment horizontal="right" vertical="center"/>
    </xf>
    <xf numFmtId="0" fontId="94" fillId="0" borderId="62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90" fillId="0" borderId="0" xfId="0" applyFont="1" applyBorder="1" applyAlignment="1">
      <alignment horizontal="center" vertical="center" wrapText="1"/>
    </xf>
    <xf numFmtId="14" fontId="90" fillId="0" borderId="0" xfId="0" applyNumberFormat="1" applyFont="1" applyAlignment="1">
      <alignment horizontal="center" vertical="center" wrapText="1"/>
    </xf>
    <xf numFmtId="0" fontId="91" fillId="0" borderId="0" xfId="0" applyFont="1" applyBorder="1" applyAlignment="1">
      <alignment horizontal="left" vertical="center" wrapText="1"/>
    </xf>
    <xf numFmtId="4" fontId="91" fillId="0" borderId="0" xfId="0" applyNumberFormat="1" applyFont="1" applyBorder="1" applyAlignment="1">
      <alignment horizontal="right" vertical="center" wrapText="1"/>
    </xf>
    <xf numFmtId="0" fontId="90" fillId="0" borderId="0" xfId="0" applyFont="1" applyBorder="1" applyAlignment="1">
      <alignment horizontal="left" vertical="center" wrapText="1"/>
    </xf>
    <xf numFmtId="4" fontId="93" fillId="0" borderId="0" xfId="0" applyNumberFormat="1" applyFont="1" applyBorder="1" applyAlignment="1">
      <alignment horizontal="right" vertical="center" wrapText="1"/>
    </xf>
    <xf numFmtId="0" fontId="96" fillId="0" borderId="0" xfId="0" applyFont="1" applyBorder="1" applyAlignment="1">
      <alignment horizontal="left" vertical="center" wrapText="1"/>
    </xf>
    <xf numFmtId="4" fontId="277" fillId="0" borderId="0" xfId="0" applyNumberFormat="1" applyFont="1" applyFill="1"/>
    <xf numFmtId="0" fontId="91" fillId="0" borderId="0" xfId="0" applyFont="1" applyAlignment="1">
      <alignment horizontal="left" vertical="center" wrapText="1" indent="2"/>
    </xf>
    <xf numFmtId="0" fontId="91" fillId="0" borderId="0" xfId="0" applyFont="1" applyBorder="1" applyAlignment="1">
      <alignment vertical="center" wrapText="1"/>
    </xf>
    <xf numFmtId="43" fontId="90" fillId="0" borderId="0" xfId="0" applyNumberFormat="1" applyFont="1" applyBorder="1" applyAlignment="1">
      <alignment horizontal="right" vertical="center" wrapText="1"/>
    </xf>
    <xf numFmtId="43" fontId="90" fillId="0" borderId="35" xfId="0" applyNumberFormat="1" applyFont="1" applyBorder="1" applyAlignment="1">
      <alignment horizontal="right" vertical="center" wrapText="1"/>
    </xf>
    <xf numFmtId="43" fontId="96" fillId="0" borderId="0" xfId="0" applyNumberFormat="1" applyFont="1" applyBorder="1" applyAlignment="1">
      <alignment horizontal="right" vertical="center" wrapText="1"/>
    </xf>
    <xf numFmtId="0" fontId="90" fillId="0" borderId="0" xfId="0" applyFont="1" applyBorder="1" applyAlignment="1">
      <alignment horizontal="left" wrapText="1"/>
    </xf>
    <xf numFmtId="0" fontId="93" fillId="0" borderId="0" xfId="0" applyFont="1" applyAlignment="1">
      <alignment vertical="center" wrapText="1"/>
    </xf>
    <xf numFmtId="0" fontId="94" fillId="0" borderId="34" xfId="0" applyFont="1" applyBorder="1" applyAlignment="1">
      <alignment horizontal="left" vertical="center" wrapText="1"/>
    </xf>
    <xf numFmtId="0" fontId="90" fillId="0" borderId="62" xfId="0" applyFont="1" applyBorder="1" applyAlignment="1">
      <alignment horizontal="left" vertical="center" wrapText="1"/>
    </xf>
    <xf numFmtId="4" fontId="94" fillId="0" borderId="34" xfId="0" applyNumberFormat="1" applyFont="1" applyBorder="1" applyAlignment="1">
      <alignment horizontal="right" vertical="center" wrapText="1"/>
    </xf>
    <xf numFmtId="0" fontId="91" fillId="0" borderId="0" xfId="0" quotePrefix="1" applyFont="1" applyAlignment="1">
      <alignment horizontal="left" vertical="center" wrapText="1" indent="2"/>
    </xf>
    <xf numFmtId="43" fontId="96" fillId="0" borderId="34" xfId="0" applyNumberFormat="1" applyFont="1" applyBorder="1" applyAlignment="1">
      <alignment horizontal="right" vertical="center" wrapText="1"/>
    </xf>
    <xf numFmtId="14" fontId="90" fillId="0" borderId="35" xfId="0" applyNumberFormat="1" applyFont="1" applyBorder="1" applyAlignment="1">
      <alignment horizontal="center" vertical="center" wrapText="1"/>
    </xf>
    <xf numFmtId="0" fontId="96" fillId="0" borderId="0" xfId="0" quotePrefix="1" applyFont="1" applyAlignment="1">
      <alignment horizontal="left" vertical="center" wrapText="1" indent="2"/>
    </xf>
    <xf numFmtId="4" fontId="90" fillId="0" borderId="35" xfId="0" applyNumberFormat="1" applyFont="1" applyBorder="1" applyAlignment="1">
      <alignment horizontal="right" vertical="center" wrapText="1"/>
    </xf>
    <xf numFmtId="0" fontId="93" fillId="0" borderId="0" xfId="0" applyFont="1" applyBorder="1" applyAlignment="1">
      <alignment horizontal="left" vertical="center" wrapText="1"/>
    </xf>
    <xf numFmtId="0" fontId="91" fillId="0" borderId="62" xfId="0" applyFont="1" applyBorder="1" applyAlignment="1">
      <alignment vertical="center" wrapText="1"/>
    </xf>
    <xf numFmtId="10" fontId="93" fillId="0" borderId="0" xfId="187" applyNumberFormat="1" applyFont="1" applyFill="1" applyAlignment="1">
      <alignment horizontal="right" vertical="center" wrapText="1"/>
    </xf>
    <xf numFmtId="10" fontId="93" fillId="0" borderId="34" xfId="187" applyNumberFormat="1" applyFont="1" applyFill="1" applyBorder="1" applyAlignment="1">
      <alignment horizontal="right" vertical="center" wrapText="1"/>
    </xf>
    <xf numFmtId="218" fontId="91" fillId="0" borderId="0" xfId="0" applyNumberFormat="1" applyFont="1"/>
    <xf numFmtId="0" fontId="96" fillId="0" borderId="0" xfId="0" applyFont="1" applyAlignment="1">
      <alignment horizontal="justify" vertical="center" wrapText="1"/>
    </xf>
    <xf numFmtId="0" fontId="97" fillId="0" borderId="0" xfId="0" applyFont="1" applyAlignment="1">
      <alignment horizontal="justify" vertical="center" wrapText="1"/>
    </xf>
    <xf numFmtId="0" fontId="273" fillId="0" borderId="0" xfId="0" applyFont="1" applyAlignment="1">
      <alignment horizontal="right" vertical="center" wrapText="1"/>
    </xf>
    <xf numFmtId="0" fontId="90" fillId="0" borderId="34" xfId="0" applyFont="1" applyBorder="1" applyAlignment="1">
      <alignment horizontal="left" wrapText="1"/>
    </xf>
    <xf numFmtId="14" fontId="93" fillId="0" borderId="0" xfId="0" applyNumberFormat="1" applyFont="1" applyAlignment="1">
      <alignment horizontal="left" vertical="center"/>
    </xf>
    <xf numFmtId="0" fontId="89" fillId="132" borderId="65" xfId="7974" applyFont="1" applyFill="1" applyBorder="1" applyAlignment="1">
      <alignment wrapText="1"/>
    </xf>
    <xf numFmtId="0" fontId="278" fillId="0" borderId="34" xfId="0" applyFont="1" applyBorder="1"/>
    <xf numFmtId="0" fontId="89" fillId="127" borderId="0" xfId="7974" applyFont="1" applyFill="1" applyAlignment="1">
      <alignment wrapText="1"/>
    </xf>
    <xf numFmtId="0" fontId="89" fillId="131" borderId="0" xfId="7974" applyFont="1" applyFill="1" applyAlignment="1">
      <alignment wrapText="1"/>
    </xf>
    <xf numFmtId="0" fontId="94" fillId="0" borderId="35" xfId="0" applyFont="1" applyBorder="1" applyAlignment="1">
      <alignment horizontal="right" vertical="center" wrapText="1"/>
    </xf>
    <xf numFmtId="0" fontId="5" fillId="0" borderId="31" xfId="0" applyFont="1" applyBorder="1"/>
    <xf numFmtId="43" fontId="91" fillId="0" borderId="62" xfId="0" applyNumberFormat="1" applyFont="1" applyFill="1" applyBorder="1" applyAlignment="1">
      <alignment horizontal="right" vertical="center" wrapText="1"/>
    </xf>
    <xf numFmtId="0" fontId="91" fillId="0" borderId="0" xfId="0" applyFont="1" applyAlignment="1"/>
    <xf numFmtId="3" fontId="0" fillId="0" borderId="0" xfId="0" applyNumberFormat="1" applyFill="1"/>
    <xf numFmtId="0" fontId="94" fillId="0" borderId="35" xfId="0" applyFont="1" applyBorder="1" applyAlignment="1">
      <alignment horizontal="left" vertical="center"/>
    </xf>
    <xf numFmtId="43" fontId="90" fillId="0" borderId="34" xfId="0" applyNumberFormat="1" applyFont="1" applyFill="1" applyBorder="1" applyAlignment="1">
      <alignment horizontal="right" vertical="center" wrapText="1"/>
    </xf>
    <xf numFmtId="0" fontId="94" fillId="0" borderId="34" xfId="0" applyFont="1" applyBorder="1" applyAlignment="1">
      <alignment horizontal="left" vertical="center"/>
    </xf>
    <xf numFmtId="43" fontId="91" fillId="37" borderId="0" xfId="0" applyNumberFormat="1" applyFont="1" applyFill="1" applyBorder="1" applyAlignment="1">
      <alignment horizontal="right" vertical="center" wrapText="1"/>
    </xf>
    <xf numFmtId="0" fontId="107" fillId="130" borderId="0" xfId="7974" applyFont="1" applyFill="1"/>
    <xf numFmtId="43" fontId="90" fillId="0" borderId="0" xfId="0" applyNumberFormat="1" applyFont="1" applyFill="1" applyBorder="1" applyAlignment="1">
      <alignment horizontal="right" vertical="center" wrapText="1"/>
    </xf>
    <xf numFmtId="0" fontId="89" fillId="0" borderId="0" xfId="7974" applyFont="1" applyAlignment="1">
      <alignment wrapText="1"/>
    </xf>
    <xf numFmtId="43" fontId="91" fillId="37" borderId="34" xfId="0" applyNumberFormat="1" applyFont="1" applyFill="1" applyBorder="1" applyAlignment="1">
      <alignment horizontal="right" vertical="center" wrapText="1"/>
    </xf>
    <xf numFmtId="0" fontId="51" fillId="0" borderId="0" xfId="0" applyFont="1"/>
    <xf numFmtId="4" fontId="93" fillId="0" borderId="34" xfId="0" applyNumberFormat="1" applyFont="1" applyBorder="1" applyAlignment="1">
      <alignment horizontal="right" vertical="center"/>
    </xf>
    <xf numFmtId="43" fontId="91" fillId="0" borderId="34" xfId="0" applyNumberFormat="1" applyFont="1" applyFill="1" applyBorder="1" applyAlignment="1">
      <alignment horizontal="right" vertical="center" wrapText="1"/>
    </xf>
    <xf numFmtId="4" fontId="89" fillId="127" borderId="0" xfId="7974" applyNumberFormat="1" applyFont="1" applyFill="1"/>
    <xf numFmtId="0" fontId="89" fillId="0" borderId="65" xfId="7974" applyFont="1" applyBorder="1"/>
    <xf numFmtId="43" fontId="90" fillId="0" borderId="35" xfId="0" applyNumberFormat="1" applyFont="1" applyBorder="1" applyAlignment="1">
      <alignment horizontal="right" wrapText="1"/>
    </xf>
    <xf numFmtId="3" fontId="0" fillId="129" borderId="0" xfId="0" applyNumberFormat="1" applyFill="1"/>
    <xf numFmtId="0" fontId="90" fillId="0" borderId="0" xfId="0" applyFont="1"/>
    <xf numFmtId="0" fontId="90" fillId="0" borderId="0" xfId="0" applyFont="1" applyAlignment="1">
      <alignment horizontal="left" wrapText="1"/>
    </xf>
    <xf numFmtId="43" fontId="90" fillId="0" borderId="35" xfId="0" applyNumberFormat="1" applyFont="1" applyFill="1" applyBorder="1" applyAlignment="1">
      <alignment horizontal="right" vertical="center" wrapText="1"/>
    </xf>
    <xf numFmtId="43" fontId="96" fillId="127" borderId="0" xfId="0" applyNumberFormat="1" applyFont="1" applyFill="1" applyBorder="1" applyAlignment="1">
      <alignment horizontal="right" vertical="center" wrapText="1"/>
    </xf>
    <xf numFmtId="43" fontId="96" fillId="0" borderId="34" xfId="0" applyNumberFormat="1" applyFont="1" applyFill="1" applyBorder="1" applyAlignment="1">
      <alignment horizontal="right" vertical="center" wrapText="1"/>
    </xf>
    <xf numFmtId="0" fontId="93" fillId="0" borderId="0" xfId="0" applyFont="1" applyAlignment="1">
      <alignment horizontal="left" vertical="center"/>
    </xf>
    <xf numFmtId="0" fontId="91" fillId="0" borderId="0" xfId="0" applyFont="1" applyFill="1"/>
    <xf numFmtId="0" fontId="96" fillId="0" borderId="0" xfId="0" applyFont="1" applyAlignment="1">
      <alignment horizontal="center" vertical="center" wrapText="1"/>
    </xf>
    <xf numFmtId="43" fontId="96" fillId="0" borderId="0" xfId="0" applyNumberFormat="1" applyFont="1" applyFill="1" applyBorder="1" applyAlignment="1">
      <alignment horizontal="right" vertical="center" wrapText="1"/>
    </xf>
    <xf numFmtId="0" fontId="94" fillId="0" borderId="35" xfId="0" applyFont="1" applyBorder="1" applyAlignment="1">
      <alignment horizontal="left" vertical="center" wrapText="1"/>
    </xf>
    <xf numFmtId="10" fontId="90" fillId="0" borderId="35" xfId="187" applyNumberFormat="1" applyFont="1" applyBorder="1" applyAlignment="1">
      <alignment horizontal="right" wrapText="1"/>
    </xf>
    <xf numFmtId="4" fontId="93" fillId="0" borderId="0" xfId="0" applyNumberFormat="1" applyFont="1" applyAlignment="1">
      <alignment horizontal="right" vertical="center"/>
    </xf>
    <xf numFmtId="43" fontId="91" fillId="0" borderId="0" xfId="0" applyNumberFormat="1" applyFont="1" applyFill="1" applyBorder="1" applyAlignment="1">
      <alignment horizontal="right" vertical="center" wrapText="1"/>
    </xf>
    <xf numFmtId="4" fontId="94" fillId="0" borderId="34" xfId="0" applyNumberFormat="1" applyFont="1" applyBorder="1" applyAlignment="1">
      <alignment horizontal="right" vertical="center"/>
    </xf>
    <xf numFmtId="0" fontId="89" fillId="131" borderId="0" xfId="7974" applyFont="1" applyFill="1"/>
    <xf numFmtId="10" fontId="90" fillId="0" borderId="0" xfId="187" applyNumberFormat="1" applyFont="1" applyBorder="1" applyAlignment="1">
      <alignment horizontal="right" vertical="center" wrapText="1"/>
    </xf>
    <xf numFmtId="43" fontId="96" fillId="0" borderId="0" xfId="0" applyNumberFormat="1" applyFont="1" applyAlignment="1">
      <alignment horizontal="right" vertical="center" wrapText="1"/>
    </xf>
    <xf numFmtId="0" fontId="90" fillId="0" borderId="34" xfId="0" applyFont="1" applyBorder="1" applyAlignment="1">
      <alignment horizontal="right" vertical="center" wrapText="1"/>
    </xf>
    <xf numFmtId="0" fontId="72" fillId="133" borderId="0" xfId="0" applyFont="1" applyFill="1" applyBorder="1" applyAlignment="1">
      <alignment vertical="top" wrapText="1"/>
    </xf>
    <xf numFmtId="14" fontId="107" fillId="0" borderId="0" xfId="8338" applyNumberFormat="1" applyFont="1" applyFill="1" applyAlignment="1">
      <alignment horizontal="left" wrapText="1"/>
    </xf>
    <xf numFmtId="0" fontId="32" fillId="0" borderId="0" xfId="11056" applyFont="1"/>
    <xf numFmtId="0" fontId="32" fillId="0" borderId="0" xfId="11056" applyFont="1" applyAlignment="1">
      <alignment wrapText="1"/>
    </xf>
    <xf numFmtId="4" fontId="50" fillId="0" borderId="0" xfId="11056" applyNumberFormat="1" applyFont="1" applyFill="1"/>
    <xf numFmtId="0" fontId="89" fillId="0" borderId="0" xfId="14169" applyFont="1"/>
    <xf numFmtId="4" fontId="89" fillId="0" borderId="0" xfId="14169" applyNumberFormat="1" applyFont="1"/>
    <xf numFmtId="4" fontId="89" fillId="0" borderId="0" xfId="14169" applyNumberFormat="1" applyFont="1" applyProtection="1">
      <protection locked="0"/>
    </xf>
    <xf numFmtId="4" fontId="89" fillId="0" borderId="0" xfId="14169" applyNumberFormat="1" applyFont="1" applyAlignment="1">
      <alignment horizontal="right"/>
    </xf>
    <xf numFmtId="4" fontId="92" fillId="0" borderId="0" xfId="14169" applyNumberFormat="1" applyFont="1"/>
    <xf numFmtId="0" fontId="89" fillId="0" borderId="0" xfId="14169" applyFont="1" applyAlignment="1">
      <alignment wrapText="1"/>
    </xf>
    <xf numFmtId="0" fontId="89" fillId="0" borderId="0" xfId="14169" applyFont="1" applyAlignment="1" applyProtection="1">
      <alignment wrapText="1"/>
      <protection locked="0"/>
    </xf>
    <xf numFmtId="0" fontId="107" fillId="0" borderId="0" xfId="14169" applyFont="1" applyAlignment="1" applyProtection="1">
      <alignment wrapText="1"/>
      <protection locked="0"/>
    </xf>
    <xf numFmtId="4" fontId="89" fillId="0" borderId="0" xfId="14169" applyNumberFormat="1" applyFont="1" applyAlignment="1" applyProtection="1">
      <alignment wrapText="1"/>
      <protection locked="0"/>
    </xf>
    <xf numFmtId="14" fontId="107" fillId="0" borderId="0" xfId="14169" applyNumberFormat="1" applyFont="1" applyAlignment="1">
      <alignment wrapText="1"/>
    </xf>
    <xf numFmtId="0" fontId="276" fillId="39" borderId="0" xfId="14169" applyFont="1" applyFill="1" applyAlignment="1">
      <alignment wrapText="1"/>
    </xf>
    <xf numFmtId="0" fontId="276" fillId="128" borderId="0" xfId="14169" applyFont="1" applyFill="1" applyAlignment="1">
      <alignment horizontal="center" wrapText="1"/>
    </xf>
    <xf numFmtId="0" fontId="89" fillId="0" borderId="0" xfId="14169" applyFont="1" applyProtection="1">
      <protection locked="0"/>
    </xf>
    <xf numFmtId="4" fontId="89" fillId="127" borderId="0" xfId="14169" applyNumberFormat="1" applyFont="1" applyFill="1" applyProtection="1">
      <protection locked="0"/>
    </xf>
    <xf numFmtId="4" fontId="89" fillId="0" borderId="0" xfId="14169" applyNumberFormat="1" applyFont="1" applyFill="1" applyProtection="1">
      <protection locked="0"/>
    </xf>
    <xf numFmtId="4" fontId="89" fillId="0" borderId="0" xfId="14169" applyNumberFormat="1" applyFont="1" applyFill="1"/>
    <xf numFmtId="4" fontId="89" fillId="128" borderId="0" xfId="14169" applyNumberFormat="1" applyFont="1" applyFill="1"/>
    <xf numFmtId="3" fontId="89" fillId="0" borderId="0" xfId="14169" applyNumberFormat="1" applyFont="1" applyProtection="1">
      <protection locked="0"/>
    </xf>
    <xf numFmtId="4" fontId="89" fillId="39" borderId="0" xfId="14169" applyNumberFormat="1" applyFont="1" applyFill="1"/>
    <xf numFmtId="4" fontId="279" fillId="0" borderId="0" xfId="14169" applyNumberFormat="1" applyFont="1"/>
    <xf numFmtId="0" fontId="43" fillId="39" borderId="0" xfId="0" applyFont="1" applyFill="1" applyBorder="1" applyAlignment="1">
      <alignment vertical="top" wrapText="1"/>
    </xf>
    <xf numFmtId="0" fontId="50" fillId="0" borderId="15" xfId="170" applyFont="1" applyBorder="1" applyAlignment="1">
      <alignment horizontal="center"/>
    </xf>
    <xf numFmtId="0" fontId="89" fillId="0" borderId="0" xfId="14186" applyFont="1" applyProtection="1">
      <protection locked="0"/>
    </xf>
    <xf numFmtId="0" fontId="89" fillId="0" borderId="0" xfId="14186" applyFont="1"/>
    <xf numFmtId="4" fontId="89" fillId="0" borderId="0" xfId="14186" applyNumberFormat="1" applyFont="1" applyProtection="1">
      <protection locked="0"/>
    </xf>
    <xf numFmtId="0" fontId="107" fillId="0" borderId="0" xfId="14186" applyFont="1" applyProtection="1">
      <protection locked="0"/>
    </xf>
    <xf numFmtId="0" fontId="107" fillId="0" borderId="0" xfId="14186" applyFont="1"/>
    <xf numFmtId="4" fontId="107" fillId="0" borderId="0" xfId="14186" applyNumberFormat="1" applyFont="1" applyProtection="1">
      <protection locked="0"/>
    </xf>
    <xf numFmtId="4" fontId="89" fillId="0" borderId="0" xfId="14186" applyNumberFormat="1" applyFont="1"/>
    <xf numFmtId="4" fontId="50" fillId="36" borderId="0" xfId="0" applyNumberFormat="1" applyFont="1" applyFill="1"/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0" fontId="50" fillId="0" borderId="0" xfId="7974" applyFont="1" applyFill="1"/>
    <xf numFmtId="4" fontId="50" fillId="0" borderId="0" xfId="8338" applyNumberFormat="1" applyFont="1" applyFill="1"/>
    <xf numFmtId="3" fontId="50" fillId="0" borderId="0" xfId="8338" applyNumberFormat="1" applyFont="1" applyFill="1"/>
    <xf numFmtId="221" fontId="50" fillId="0" borderId="0" xfId="11056" applyNumberFormat="1" applyFont="1" applyFill="1"/>
    <xf numFmtId="221" fontId="50" fillId="0" borderId="0" xfId="8338" applyNumberFormat="1" applyFont="1" applyFill="1"/>
    <xf numFmtId="0" fontId="50" fillId="0" borderId="0" xfId="8338" applyFont="1" applyFill="1"/>
    <xf numFmtId="0" fontId="50" fillId="0" borderId="0" xfId="11056" applyFont="1" applyFill="1"/>
    <xf numFmtId="0" fontId="89" fillId="0" borderId="0" xfId="14187" applyFont="1"/>
    <xf numFmtId="4" fontId="89" fillId="0" borderId="0" xfId="14187" applyNumberFormat="1" applyFont="1"/>
    <xf numFmtId="4" fontId="89" fillId="0" borderId="0" xfId="14187" applyNumberFormat="1" applyFont="1" applyProtection="1">
      <protection locked="0"/>
    </xf>
    <xf numFmtId="0" fontId="89" fillId="0" borderId="0" xfId="14187" applyFont="1" applyProtection="1">
      <protection locked="0"/>
    </xf>
    <xf numFmtId="4" fontId="89" fillId="127" borderId="0" xfId="14187" applyNumberFormat="1" applyFont="1" applyFill="1" applyProtection="1">
      <protection locked="0"/>
    </xf>
    <xf numFmtId="4" fontId="107" fillId="0" borderId="0" xfId="14187" applyNumberFormat="1" applyFont="1" applyAlignment="1">
      <alignment horizontal="right"/>
    </xf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left" vertical="center" wrapText="1"/>
    </xf>
    <xf numFmtId="0" fontId="94" fillId="0" borderId="62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72" fillId="134" borderId="0" xfId="0" applyFont="1" applyFill="1" applyBorder="1" applyAlignment="1">
      <alignment vertical="top" wrapText="1"/>
    </xf>
    <xf numFmtId="4" fontId="72" fillId="0" borderId="0" xfId="0" applyNumberFormat="1" applyFont="1" applyBorder="1"/>
    <xf numFmtId="43" fontId="277" fillId="0" borderId="0" xfId="0" applyNumberFormat="1" applyFont="1" applyFill="1"/>
    <xf numFmtId="4" fontId="91" fillId="0" borderId="0" xfId="0" applyNumberFormat="1" applyFont="1" applyFill="1"/>
    <xf numFmtId="4" fontId="94" fillId="0" borderId="35" xfId="0" applyNumberFormat="1" applyFont="1" applyBorder="1" applyAlignment="1">
      <alignment horizontal="right" vertical="center" wrapText="1"/>
    </xf>
    <xf numFmtId="43" fontId="91" fillId="0" borderId="0" xfId="0" applyNumberFormat="1" applyFont="1"/>
    <xf numFmtId="4" fontId="50" fillId="127" borderId="0" xfId="0" applyNumberFormat="1" applyFont="1" applyFill="1"/>
    <xf numFmtId="4" fontId="50" fillId="135" borderId="0" xfId="0" applyNumberFormat="1" applyFont="1" applyFill="1"/>
    <xf numFmtId="0" fontId="107" fillId="135" borderId="0" xfId="14169" applyFont="1" applyFill="1"/>
    <xf numFmtId="0" fontId="91" fillId="0" borderId="0" xfId="0" applyFont="1" applyBorder="1" applyAlignment="1">
      <alignment horizontal="right" vertical="center" wrapText="1"/>
    </xf>
    <xf numFmtId="0" fontId="90" fillId="0" borderId="34" xfId="0" applyFont="1" applyFill="1" applyBorder="1" applyAlignment="1" applyProtection="1">
      <alignment horizontal="left"/>
    </xf>
    <xf numFmtId="0" fontId="90" fillId="0" borderId="34" xfId="0" applyFont="1" applyFill="1" applyBorder="1" applyAlignment="1" applyProtection="1">
      <alignment horizontal="center" wrapText="1"/>
    </xf>
    <xf numFmtId="0" fontId="91" fillId="0" borderId="0" xfId="0" applyFont="1" applyFill="1" applyBorder="1" applyAlignment="1" applyProtection="1">
      <alignment horizontal="left"/>
    </xf>
    <xf numFmtId="0" fontId="90" fillId="0" borderId="35" xfId="0" applyFont="1" applyFill="1" applyBorder="1" applyAlignment="1" applyProtection="1">
      <alignment horizontal="center"/>
    </xf>
    <xf numFmtId="0" fontId="90" fillId="0" borderId="35" xfId="0" applyFont="1" applyFill="1" applyBorder="1" applyAlignment="1" applyProtection="1">
      <alignment horizontal="center" wrapText="1"/>
    </xf>
    <xf numFmtId="222" fontId="90" fillId="0" borderId="34" xfId="0" applyNumberFormat="1" applyFont="1" applyFill="1" applyBorder="1" applyAlignment="1" applyProtection="1">
      <alignment horizontal="right"/>
    </xf>
    <xf numFmtId="0" fontId="51" fillId="0" borderId="0" xfId="20312"/>
    <xf numFmtId="0" fontId="51" fillId="0" borderId="0" xfId="20312" applyProtection="1">
      <protection locked="0"/>
    </xf>
    <xf numFmtId="0" fontId="280" fillId="0" borderId="0" xfId="20312" applyFont="1" applyProtection="1">
      <protection locked="0"/>
    </xf>
    <xf numFmtId="0" fontId="281" fillId="0" borderId="0" xfId="20312" applyFont="1" applyProtection="1">
      <protection locked="0"/>
    </xf>
    <xf numFmtId="0" fontId="282" fillId="0" borderId="0" xfId="20312" applyFont="1"/>
    <xf numFmtId="4" fontId="281" fillId="0" borderId="0" xfId="20312" applyNumberFormat="1" applyFont="1"/>
    <xf numFmtId="4" fontId="281" fillId="0" borderId="0" xfId="20312" applyNumberFormat="1" applyFont="1" applyProtection="1">
      <protection locked="0"/>
    </xf>
    <xf numFmtId="4" fontId="282" fillId="0" borderId="0" xfId="20312" applyNumberFormat="1" applyFont="1"/>
    <xf numFmtId="4" fontId="51" fillId="0" borderId="0" xfId="20312" applyNumberFormat="1" applyProtection="1">
      <protection locked="0"/>
    </xf>
    <xf numFmtId="4" fontId="28" fillId="0" borderId="0" xfId="20312" applyNumberFormat="1" applyFont="1" applyProtection="1">
      <protection locked="0"/>
    </xf>
    <xf numFmtId="4" fontId="28" fillId="39" borderId="0" xfId="20312" applyNumberFormat="1" applyFont="1" applyFill="1" applyProtection="1">
      <protection locked="0"/>
    </xf>
    <xf numFmtId="43" fontId="90" fillId="0" borderId="34" xfId="0" applyNumberFormat="1" applyFont="1" applyBorder="1" applyAlignment="1">
      <alignment horizontal="right" vertical="center" wrapText="1"/>
    </xf>
    <xf numFmtId="14" fontId="90" fillId="0" borderId="0" xfId="0" applyNumberFormat="1" applyFont="1" applyFill="1"/>
    <xf numFmtId="0" fontId="91" fillId="39" borderId="0" xfId="0" applyFont="1" applyFill="1"/>
    <xf numFmtId="0" fontId="0" fillId="0" borderId="66" xfId="0" applyBorder="1"/>
    <xf numFmtId="0" fontId="0" fillId="0" borderId="67" xfId="0" applyBorder="1"/>
    <xf numFmtId="0" fontId="50" fillId="0" borderId="0" xfId="20314" applyFont="1"/>
    <xf numFmtId="0" fontId="89" fillId="0" borderId="0" xfId="20413" applyFont="1"/>
    <xf numFmtId="0" fontId="89" fillId="0" borderId="0" xfId="20413" applyFont="1" applyProtection="1">
      <protection locked="0"/>
    </xf>
    <xf numFmtId="4" fontId="89" fillId="0" borderId="0" xfId="20413" applyNumberFormat="1" applyFont="1" applyProtection="1">
      <protection locked="0"/>
    </xf>
    <xf numFmtId="4" fontId="107" fillId="0" borderId="0" xfId="20413" applyNumberFormat="1" applyFont="1" applyProtection="1">
      <protection locked="0"/>
    </xf>
    <xf numFmtId="0" fontId="107" fillId="0" borderId="0" xfId="20413" applyFont="1"/>
    <xf numFmtId="0" fontId="107" fillId="0" borderId="0" xfId="20413" applyFont="1" applyFill="1" applyAlignment="1"/>
    <xf numFmtId="0" fontId="89" fillId="0" borderId="0" xfId="20413" applyFont="1" applyAlignment="1"/>
    <xf numFmtId="4" fontId="89" fillId="0" borderId="0" xfId="20413" applyNumberFormat="1" applyFont="1" applyAlignment="1"/>
    <xf numFmtId="4" fontId="89" fillId="0" borderId="0" xfId="20413" applyNumberFormat="1" applyFont="1" applyFill="1" applyProtection="1">
      <protection locked="0"/>
    </xf>
    <xf numFmtId="4" fontId="107" fillId="39" borderId="0" xfId="20413" applyNumberFormat="1" applyFont="1" applyFill="1" applyProtection="1">
      <protection locked="0"/>
    </xf>
    <xf numFmtId="4" fontId="89" fillId="39" borderId="0" xfId="20413" applyNumberFormat="1" applyFont="1" applyFill="1"/>
    <xf numFmtId="0" fontId="107" fillId="0" borderId="0" xfId="20413" applyFont="1" applyAlignment="1">
      <alignment horizontal="center"/>
    </xf>
    <xf numFmtId="4" fontId="89" fillId="136" borderId="0" xfId="20413" applyNumberFormat="1" applyFont="1" applyFill="1"/>
    <xf numFmtId="0" fontId="272" fillId="0" borderId="0" xfId="20413" applyFont="1"/>
    <xf numFmtId="43" fontId="93" fillId="0" borderId="34" xfId="0" applyNumberFormat="1" applyFont="1" applyFill="1" applyBorder="1" applyAlignment="1">
      <alignment horizontal="right" vertical="center" wrapText="1"/>
    </xf>
    <xf numFmtId="43" fontId="91" fillId="0" borderId="0" xfId="0" applyNumberFormat="1" applyFont="1" applyFill="1" applyAlignment="1">
      <alignment horizontal="right" vertical="center" wrapText="1"/>
    </xf>
    <xf numFmtId="0" fontId="91" fillId="0" borderId="0" xfId="0" applyFont="1" applyFill="1" applyAlignment="1">
      <alignment horizontal="right" vertical="center" wrapText="1"/>
    </xf>
    <xf numFmtId="4" fontId="277" fillId="0" borderId="0" xfId="0" applyNumberFormat="1" applyFont="1"/>
    <xf numFmtId="4" fontId="89" fillId="0" borderId="0" xfId="20443" applyNumberFormat="1" applyFont="1" applyProtection="1">
      <protection locked="0"/>
    </xf>
    <xf numFmtId="0" fontId="89" fillId="0" borderId="0" xfId="20443" applyFont="1" applyProtection="1">
      <protection locked="0"/>
    </xf>
    <xf numFmtId="4" fontId="89" fillId="127" borderId="0" xfId="20443" applyNumberFormat="1" applyFont="1" applyFill="1" applyProtection="1">
      <protection locked="0"/>
    </xf>
    <xf numFmtId="0" fontId="72" fillId="135" borderId="0" xfId="0" applyFont="1" applyFill="1" applyBorder="1" applyAlignment="1">
      <alignment vertical="top" wrapText="1"/>
    </xf>
    <xf numFmtId="0" fontId="72" fillId="136" borderId="0" xfId="0" applyFont="1" applyFill="1" applyBorder="1" applyAlignment="1">
      <alignment vertical="top" wrapText="1"/>
    </xf>
    <xf numFmtId="0" fontId="72" fillId="127" borderId="0" xfId="0" applyFont="1" applyFill="1" applyBorder="1"/>
    <xf numFmtId="0" fontId="72" fillId="127" borderId="0" xfId="29" applyFont="1" applyFill="1" applyBorder="1" applyAlignment="1" applyProtection="1">
      <alignment horizontal="left"/>
      <protection locked="0"/>
    </xf>
    <xf numFmtId="0" fontId="72" fillId="127" borderId="0" xfId="29" applyFont="1" applyFill="1" applyBorder="1" applyAlignment="1">
      <alignment horizontal="left"/>
    </xf>
    <xf numFmtId="0" fontId="72" fillId="127" borderId="0" xfId="0" applyFont="1" applyFill="1" applyBorder="1" applyAlignment="1"/>
    <xf numFmtId="0" fontId="80" fillId="35" borderId="0" xfId="21" applyFont="1" applyFill="1" applyAlignment="1">
      <alignment horizontal="center" vertical="center"/>
    </xf>
    <xf numFmtId="0" fontId="22" fillId="35" borderId="0" xfId="21" applyFont="1" applyFill="1" applyAlignment="1">
      <alignment horizontal="center"/>
    </xf>
    <xf numFmtId="14" fontId="20" fillId="35" borderId="64" xfId="21" applyNumberFormat="1" applyFont="1" applyFill="1" applyBorder="1" applyAlignment="1">
      <alignment horizontal="left" vertical="center"/>
    </xf>
    <xf numFmtId="14" fontId="20" fillId="35" borderId="34" xfId="21" applyNumberFormat="1" applyFont="1" applyFill="1" applyBorder="1" applyAlignment="1">
      <alignment horizontal="left" vertical="center"/>
    </xf>
    <xf numFmtId="0" fontId="22" fillId="35" borderId="12" xfId="21" applyFont="1" applyFill="1" applyBorder="1" applyAlignment="1"/>
    <xf numFmtId="0" fontId="22" fillId="35" borderId="0" xfId="21" applyFont="1" applyFill="1" applyBorder="1" applyAlignment="1"/>
    <xf numFmtId="0" fontId="22" fillId="35" borderId="0" xfId="21" applyFont="1" applyFill="1" applyAlignment="1"/>
    <xf numFmtId="0" fontId="22" fillId="35" borderId="0" xfId="21" applyFont="1" applyFill="1" applyAlignment="1">
      <alignment vertical="top" wrapText="1"/>
    </xf>
    <xf numFmtId="0" fontId="23" fillId="35" borderId="0" xfId="21" applyFont="1" applyFill="1" applyAlignment="1">
      <alignment vertical="top"/>
    </xf>
    <xf numFmtId="0" fontId="83" fillId="35" borderId="12" xfId="21" applyFont="1" applyFill="1" applyBorder="1" applyAlignment="1"/>
    <xf numFmtId="0" fontId="22" fillId="35" borderId="0" xfId="21" applyFont="1" applyFill="1" applyBorder="1" applyAlignment="1">
      <alignment horizontal="center" vertical="top"/>
    </xf>
    <xf numFmtId="0" fontId="22" fillId="35" borderId="0" xfId="21" applyNumberFormat="1" applyFont="1" applyFill="1" applyBorder="1" applyAlignment="1" applyProtection="1">
      <alignment horizontal="left" wrapText="1"/>
    </xf>
    <xf numFmtId="0" fontId="22" fillId="35" borderId="34" xfId="21" applyNumberFormat="1" applyFont="1" applyFill="1" applyBorder="1" applyAlignment="1" applyProtection="1">
      <alignment horizontal="left" wrapText="1"/>
    </xf>
    <xf numFmtId="14" fontId="22" fillId="35" borderId="0" xfId="21" applyNumberFormat="1" applyFont="1" applyFill="1" applyAlignment="1">
      <alignment horizontal="center" vertical="center" wrapText="1"/>
    </xf>
    <xf numFmtId="0" fontId="83" fillId="35" borderId="61" xfId="21" applyFont="1" applyFill="1" applyBorder="1" applyAlignment="1">
      <alignment horizontal="left" vertical="top" wrapText="1"/>
    </xf>
    <xf numFmtId="0" fontId="83" fillId="35" borderId="62" xfId="21" applyFont="1" applyFill="1" applyBorder="1" applyAlignment="1">
      <alignment horizontal="left" vertical="top" wrapText="1"/>
    </xf>
    <xf numFmtId="0" fontId="83" fillId="35" borderId="63" xfId="21" applyFont="1" applyFill="1" applyBorder="1" applyAlignment="1">
      <alignment horizontal="left" vertical="top" wrapText="1"/>
    </xf>
    <xf numFmtId="0" fontId="83" fillId="35" borderId="65" xfId="21" applyFont="1" applyFill="1" applyBorder="1" applyAlignment="1">
      <alignment horizontal="left" vertical="top" wrapText="1"/>
    </xf>
    <xf numFmtId="0" fontId="83" fillId="35" borderId="0" xfId="21" applyFont="1" applyFill="1" applyBorder="1" applyAlignment="1">
      <alignment horizontal="left" vertical="top" wrapText="1"/>
    </xf>
    <xf numFmtId="0" fontId="83" fillId="35" borderId="17" xfId="21" applyFont="1" applyFill="1" applyBorder="1" applyAlignment="1">
      <alignment horizontal="left" vertical="top" wrapText="1"/>
    </xf>
    <xf numFmtId="0" fontId="83" fillId="35" borderId="64" xfId="21" applyFont="1" applyFill="1" applyBorder="1" applyAlignment="1">
      <alignment horizontal="left" vertical="top" wrapText="1"/>
    </xf>
    <xf numFmtId="0" fontId="83" fillId="35" borderId="34" xfId="21" applyFont="1" applyFill="1" applyBorder="1" applyAlignment="1">
      <alignment horizontal="left" vertical="top" wrapText="1"/>
    </xf>
    <xf numFmtId="0" fontId="83" fillId="35" borderId="10" xfId="21" applyFont="1" applyFill="1" applyBorder="1" applyAlignment="1">
      <alignment horizontal="left" vertical="top" wrapText="1"/>
    </xf>
    <xf numFmtId="0" fontId="22" fillId="35" borderId="0" xfId="21" applyFont="1" applyFill="1" applyBorder="1" applyAlignment="1">
      <alignment horizontal="left" vertical="top" wrapText="1"/>
    </xf>
    <xf numFmtId="0" fontId="20" fillId="35" borderId="0" xfId="0" applyFont="1" applyFill="1" applyBorder="1" applyAlignment="1" applyProtection="1">
      <alignment horizontal="left" wrapText="1"/>
    </xf>
    <xf numFmtId="0" fontId="21" fillId="0" borderId="6" xfId="22" applyFont="1" applyFill="1" applyBorder="1" applyAlignment="1">
      <alignment vertical="top" wrapText="1"/>
    </xf>
    <xf numFmtId="0" fontId="21" fillId="0" borderId="21" xfId="22" applyFont="1" applyFill="1" applyBorder="1" applyAlignment="1">
      <alignment vertical="top" wrapText="1"/>
    </xf>
    <xf numFmtId="0" fontId="21" fillId="0" borderId="3" xfId="22" applyFont="1" applyFill="1" applyBorder="1" applyAlignment="1">
      <alignment vertical="top" wrapText="1"/>
    </xf>
    <xf numFmtId="0" fontId="21" fillId="0" borderId="5" xfId="22" applyFont="1" applyFill="1" applyBorder="1" applyAlignment="1">
      <alignment vertical="top" wrapText="1"/>
    </xf>
    <xf numFmtId="0" fontId="21" fillId="0" borderId="3" xfId="22" applyFont="1" applyFill="1" applyBorder="1" applyAlignment="1">
      <alignment vertical="top"/>
    </xf>
    <xf numFmtId="0" fontId="21" fillId="0" borderId="4" xfId="22" applyFont="1" applyFill="1" applyBorder="1" applyAlignment="1">
      <alignment vertical="top"/>
    </xf>
    <xf numFmtId="0" fontId="21" fillId="0" borderId="5" xfId="22" applyFont="1" applyFill="1" applyBorder="1" applyAlignment="1">
      <alignment vertical="top"/>
    </xf>
    <xf numFmtId="0" fontId="26" fillId="0" borderId="3" xfId="22" applyFont="1" applyFill="1" applyBorder="1" applyAlignment="1">
      <alignment vertical="top"/>
    </xf>
    <xf numFmtId="0" fontId="26" fillId="0" borderId="4" xfId="22" applyFont="1" applyFill="1" applyBorder="1" applyAlignment="1">
      <alignment vertical="top"/>
    </xf>
    <xf numFmtId="0" fontId="26" fillId="0" borderId="5" xfId="22" applyFont="1" applyFill="1" applyBorder="1" applyAlignment="1">
      <alignment vertical="top"/>
    </xf>
    <xf numFmtId="0" fontId="21" fillId="0" borderId="6" xfId="22" applyFont="1" applyFill="1" applyBorder="1" applyAlignment="1">
      <alignment horizontal="center" vertical="center" wrapText="1"/>
    </xf>
    <xf numFmtId="0" fontId="21" fillId="0" borderId="21" xfId="22" applyFont="1" applyFill="1" applyBorder="1" applyAlignment="1">
      <alignment horizontal="center" vertical="center" wrapText="1"/>
    </xf>
    <xf numFmtId="0" fontId="20" fillId="0" borderId="6" xfId="22" applyFont="1" applyFill="1" applyBorder="1" applyAlignment="1">
      <alignment horizontal="center"/>
    </xf>
    <xf numFmtId="0" fontId="20" fillId="0" borderId="21" xfId="22" applyFont="1" applyFill="1" applyBorder="1" applyAlignment="1">
      <alignment horizontal="center"/>
    </xf>
    <xf numFmtId="0" fontId="21" fillId="0" borderId="6" xfId="22" applyFont="1" applyFill="1" applyBorder="1" applyAlignment="1">
      <alignment vertical="center" wrapText="1"/>
    </xf>
    <xf numFmtId="0" fontId="21" fillId="0" borderId="21" xfId="22" applyFont="1" applyFill="1" applyBorder="1" applyAlignment="1">
      <alignment vertical="center" wrapText="1"/>
    </xf>
    <xf numFmtId="0" fontId="21" fillId="0" borderId="20" xfId="22" applyFont="1" applyFill="1" applyBorder="1" applyAlignment="1">
      <alignment horizontal="left" vertical="center" wrapText="1"/>
    </xf>
    <xf numFmtId="0" fontId="21" fillId="0" borderId="12" xfId="22" applyFont="1" applyFill="1" applyBorder="1" applyAlignment="1">
      <alignment horizontal="left" vertical="center" wrapText="1"/>
    </xf>
    <xf numFmtId="0" fontId="21" fillId="0" borderId="4" xfId="22" applyFont="1" applyFill="1" applyBorder="1" applyAlignment="1">
      <alignment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6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13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6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 shrinkToFit="1"/>
    </xf>
    <xf numFmtId="0" fontId="21" fillId="0" borderId="21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vertical="center" wrapText="1" shrinkToFi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3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49" fontId="32" fillId="0" borderId="3" xfId="24" applyFont="1" applyFill="1" applyBorder="1" applyAlignment="1">
      <alignment horizontal="center" vertical="center" wrapText="1"/>
    </xf>
    <xf numFmtId="49" fontId="32" fillId="0" borderId="5" xfId="24" applyFont="1" applyFill="1" applyBorder="1" applyAlignment="1">
      <alignment horizontal="center" vertical="center" wrapText="1"/>
    </xf>
    <xf numFmtId="49" fontId="32" fillId="0" borderId="32" xfId="24" applyFont="1" applyFill="1" applyBorder="1" applyAlignment="1">
      <alignment horizontal="center" vertical="center" wrapText="1"/>
    </xf>
    <xf numFmtId="49" fontId="32" fillId="0" borderId="2" xfId="24" applyFont="1" applyFill="1" applyBorder="1" applyAlignment="1">
      <alignment horizontal="center" vertical="center" wrapText="1"/>
    </xf>
    <xf numFmtId="49" fontId="28" fillId="0" borderId="2" xfId="24" applyFont="1" applyFill="1" applyBorder="1" applyAlignment="1">
      <alignment horizontal="center" vertical="center" wrapText="1"/>
    </xf>
    <xf numFmtId="0" fontId="32" fillId="0" borderId="6" xfId="20" applyFont="1" applyBorder="1" applyAlignment="1">
      <alignment horizontal="center" vertical="center"/>
    </xf>
    <xf numFmtId="0" fontId="32" fillId="0" borderId="21" xfId="20" applyFont="1" applyBorder="1" applyAlignment="1">
      <alignment horizontal="center" vertical="center"/>
    </xf>
    <xf numFmtId="0" fontId="32" fillId="0" borderId="8" xfId="20" applyFont="1" applyBorder="1" applyAlignment="1">
      <alignment horizontal="center" vertical="center"/>
    </xf>
    <xf numFmtId="49" fontId="26" fillId="0" borderId="2" xfId="24" applyFont="1" applyFill="1" applyBorder="1" applyAlignment="1">
      <alignment horizontal="left" vertical="center" wrapText="1"/>
    </xf>
    <xf numFmtId="49" fontId="24" fillId="0" borderId="2" xfId="24" applyFont="1" applyFill="1" applyBorder="1" applyAlignment="1">
      <alignment horizontal="center" vertical="center" wrapText="1"/>
    </xf>
    <xf numFmtId="0" fontId="24" fillId="0" borderId="6" xfId="20" applyFont="1" applyBorder="1" applyAlignment="1">
      <alignment horizontal="center" vertical="center"/>
    </xf>
    <xf numFmtId="0" fontId="24" fillId="0" borderId="21" xfId="20" applyFont="1" applyBorder="1" applyAlignment="1">
      <alignment horizontal="center" vertical="center"/>
    </xf>
    <xf numFmtId="0" fontId="24" fillId="0" borderId="8" xfId="20" applyFont="1" applyBorder="1" applyAlignment="1">
      <alignment horizontal="center" vertical="center"/>
    </xf>
    <xf numFmtId="0" fontId="31" fillId="0" borderId="6" xfId="20" applyFont="1" applyBorder="1" applyAlignment="1">
      <alignment vertical="top"/>
    </xf>
    <xf numFmtId="0" fontId="31" fillId="0" borderId="8" xfId="20" applyFont="1" applyBorder="1" applyAlignment="1">
      <alignment vertical="top"/>
    </xf>
    <xf numFmtId="0" fontId="24" fillId="0" borderId="3" xfId="25" applyFont="1" applyFill="1" applyBorder="1" applyAlignment="1">
      <alignment vertical="top" wrapText="1"/>
    </xf>
    <xf numFmtId="49" fontId="24" fillId="0" borderId="8" xfId="24" applyFont="1" applyFill="1" applyBorder="1" applyAlignment="1">
      <alignment horizontal="center" vertical="center" wrapText="1"/>
    </xf>
    <xf numFmtId="0" fontId="24" fillId="0" borderId="5" xfId="25" applyFont="1" applyFill="1" applyBorder="1" applyAlignment="1">
      <alignment horizontal="right" vertical="top" wrapText="1"/>
    </xf>
    <xf numFmtId="49" fontId="21" fillId="0" borderId="4" xfId="24" applyFont="1" applyFill="1" applyBorder="1" applyAlignment="1">
      <alignment vertical="top" wrapText="1"/>
    </xf>
    <xf numFmtId="0" fontId="91" fillId="0" borderId="0" xfId="0" applyFont="1" applyFill="1" applyAlignment="1">
      <alignment horizontal="center"/>
    </xf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0" fontId="90" fillId="0" borderId="62" xfId="0" applyFont="1" applyBorder="1" applyAlignment="1">
      <alignment horizontal="left" vertical="center" wrapText="1"/>
    </xf>
    <xf numFmtId="0" fontId="90" fillId="0" borderId="34" xfId="0" applyFont="1" applyBorder="1" applyAlignment="1">
      <alignment horizontal="left" vertical="center" wrapText="1"/>
    </xf>
    <xf numFmtId="0" fontId="94" fillId="0" borderId="62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91" fillId="0" borderId="62" xfId="0" applyFont="1" applyBorder="1" applyAlignment="1">
      <alignment vertical="center" wrapText="1"/>
    </xf>
    <xf numFmtId="0" fontId="91" fillId="0" borderId="34" xfId="0" applyFont="1" applyBorder="1" applyAlignment="1">
      <alignment vertical="center" wrapText="1"/>
    </xf>
    <xf numFmtId="0" fontId="90" fillId="0" borderId="62" xfId="0" applyFont="1" applyBorder="1" applyAlignment="1">
      <alignment horizontal="center" wrapText="1"/>
    </xf>
    <xf numFmtId="0" fontId="90" fillId="0" borderId="34" xfId="0" applyFont="1" applyBorder="1" applyAlignment="1">
      <alignment horizontal="center" wrapText="1"/>
    </xf>
  </cellXfs>
  <cellStyles count="26439">
    <cellStyle name="/1000" xfId="489"/>
    <cellStyle name="]_x000d__x000a_Extension=conv.dll_x000d__x000a_MS-DOS Tools Extentions=C:\DOS\MSTOOLS.DLL_x000d__x000a__x000d__x000a_[Settings]_x000d__x000a_UNDELETE.DLL=C:\DOS\MSTOOLS.DLL_x000d__x000a_W" xfId="4863"/>
    <cellStyle name="_2007 09 (sept) Business Units  Chine- Reporting DG (modele)" xfId="490"/>
    <cellStyle name="_A3 2007 - Reporting Chine_(modele)" xfId="491"/>
    <cellStyle name="_AC Réalisé CRM JAN08" xfId="492"/>
    <cellStyle name="_Business Units  Chine- Reporting DG - Aout 2007 (3)" xfId="493"/>
    <cellStyle name="_Business Units  Chine- Reporting DG - Aout 2007 (3)_2007 09 (sept) Business Units  Chine- Reporting DG (modele)" xfId="494"/>
    <cellStyle name="_Business Units  Chine- Reporting DG - Aout 2007 (3)_A3 2007 - Reporting Chine_(modele)" xfId="495"/>
    <cellStyle name="_Business Units  Chine- Reporting DG - Septembre007 (remise au format)" xfId="496"/>
    <cellStyle name="_Business Units - Reporting DG - Maquettage - MBCV - 310807" xfId="497"/>
    <cellStyle name="_CP04 CRM EST REA" xfId="498"/>
    <cellStyle name="_DME - Reporting mensuel - Maquettage - 130907" xfId="499"/>
    <cellStyle name="_Sheet3" xfId="500"/>
    <cellStyle name="_zzz A1 Conso siège" xfId="501"/>
    <cellStyle name="=D:\WINNT\SYSTEM32\COMMAND.COM" xfId="334"/>
    <cellStyle name="=D:\WINNT\SYSTEM32\COMMAND.COM 10" xfId="335"/>
    <cellStyle name="=D:\WINNT\SYSTEM32\COMMAND.COM 10 2" xfId="1699"/>
    <cellStyle name="=D:\WINNT\SYSTEM32\COMMAND.COM 11" xfId="336"/>
    <cellStyle name="=D:\WINNT\SYSTEM32\COMMAND.COM 11 2" xfId="1706"/>
    <cellStyle name="=D:\WINNT\SYSTEM32\COMMAND.COM 12" xfId="337"/>
    <cellStyle name="=D:\WINNT\SYSTEM32\COMMAND.COM 12 2" xfId="1860"/>
    <cellStyle name="=D:\WINNT\SYSTEM32\COMMAND.COM 13" xfId="338"/>
    <cellStyle name="=D:\WINNT\SYSTEM32\COMMAND.COM 13 2" xfId="1523"/>
    <cellStyle name="=D:\WINNT\SYSTEM32\COMMAND.COM 14" xfId="339"/>
    <cellStyle name="=D:\WINNT\SYSTEM32\COMMAND.COM 14 2" xfId="1555"/>
    <cellStyle name="=D:\WINNT\SYSTEM32\COMMAND.COM 15" xfId="340"/>
    <cellStyle name="=D:\WINNT\SYSTEM32\COMMAND.COM 15 2" xfId="1459"/>
    <cellStyle name="=D:\WINNT\SYSTEM32\COMMAND.COM 16" xfId="341"/>
    <cellStyle name="=D:\WINNT\SYSTEM32\COMMAND.COM 16 2" xfId="1830"/>
    <cellStyle name="=D:\WINNT\SYSTEM32\COMMAND.COM 17" xfId="342"/>
    <cellStyle name="=D:\WINNT\SYSTEM32\COMMAND.COM 17 2" xfId="1939"/>
    <cellStyle name="=D:\WINNT\SYSTEM32\COMMAND.COM 18" xfId="343"/>
    <cellStyle name="=D:\WINNT\SYSTEM32\COMMAND.COM 18 2" xfId="1936"/>
    <cellStyle name="=D:\WINNT\SYSTEM32\COMMAND.COM 19" xfId="344"/>
    <cellStyle name="=D:\WINNT\SYSTEM32\COMMAND.COM 19 2" xfId="1374"/>
    <cellStyle name="=D:\WINNT\SYSTEM32\COMMAND.COM 2" xfId="345"/>
    <cellStyle name="=D:\WINNT\SYSTEM32\COMMAND.COM 2 2" xfId="1462"/>
    <cellStyle name="=D:\WINNT\SYSTEM32\COMMAND.COM 20" xfId="346"/>
    <cellStyle name="=D:\WINNT\SYSTEM32\COMMAND.COM 20 2" xfId="1638"/>
    <cellStyle name="=D:\WINNT\SYSTEM32\COMMAND.COM 21" xfId="347"/>
    <cellStyle name="=D:\WINNT\SYSTEM32\COMMAND.COM 21 2" xfId="1849"/>
    <cellStyle name="=D:\WINNT\SYSTEM32\COMMAND.COM 22" xfId="348"/>
    <cellStyle name="=D:\WINNT\SYSTEM32\COMMAND.COM 22 2" xfId="1792"/>
    <cellStyle name="=D:\WINNT\SYSTEM32\COMMAND.COM 23" xfId="349"/>
    <cellStyle name="=D:\WINNT\SYSTEM32\COMMAND.COM 23 2" xfId="1441"/>
    <cellStyle name="=D:\WINNT\SYSTEM32\COMMAND.COM 24" xfId="350"/>
    <cellStyle name="=D:\WINNT\SYSTEM32\COMMAND.COM 24 2" xfId="1794"/>
    <cellStyle name="=D:\WINNT\SYSTEM32\COMMAND.COM 25" xfId="1819"/>
    <cellStyle name="=D:\WINNT\SYSTEM32\COMMAND.COM 3" xfId="351"/>
    <cellStyle name="=D:\WINNT\SYSTEM32\COMMAND.COM 3 2" xfId="1397"/>
    <cellStyle name="=D:\WINNT\SYSTEM32\COMMAND.COM 4" xfId="352"/>
    <cellStyle name="=D:\WINNT\SYSTEM32\COMMAND.COM 4 2" xfId="1770"/>
    <cellStyle name="=D:\WINNT\SYSTEM32\COMMAND.COM 5" xfId="353"/>
    <cellStyle name="=D:\WINNT\SYSTEM32\COMMAND.COM 5 2" xfId="1482"/>
    <cellStyle name="=D:\WINNT\SYSTEM32\COMMAND.COM 6" xfId="354"/>
    <cellStyle name="=D:\WINNT\SYSTEM32\COMMAND.COM 6 2" xfId="1920"/>
    <cellStyle name="=D:\WINNT\SYSTEM32\COMMAND.COM 7" xfId="355"/>
    <cellStyle name="=D:\WINNT\SYSTEM32\COMMAND.COM 7 2" xfId="1549"/>
    <cellStyle name="=D:\WINNT\SYSTEM32\COMMAND.COM 8" xfId="356"/>
    <cellStyle name="=D:\WINNT\SYSTEM32\COMMAND.COM 8 2" xfId="1651"/>
    <cellStyle name="=D:\WINNT\SYSTEM32\COMMAND.COM 9" xfId="357"/>
    <cellStyle name="=D:\WINNT\SYSTEM32\COMMAND.COM 9 2" xfId="1645"/>
    <cellStyle name="20 % – Zvýraznění1" xfId="502"/>
    <cellStyle name="20 % – Zvýraznění1 10" xfId="869"/>
    <cellStyle name="20 % – Zvýraznění1 11" xfId="870"/>
    <cellStyle name="20 % – Zvýraznění1 12" xfId="871"/>
    <cellStyle name="20 % – Zvýraznění1 13" xfId="872"/>
    <cellStyle name="20 % – Zvýraznění1 14" xfId="868"/>
    <cellStyle name="20 % – Zvýraznění1 15" xfId="1626"/>
    <cellStyle name="20 % – Zvýraznění1 2" xfId="873"/>
    <cellStyle name="20 % – Zvýraznění1 3" xfId="874"/>
    <cellStyle name="20 % – Zvýraznění1 4" xfId="875"/>
    <cellStyle name="20 % – Zvýraznění1 5" xfId="876"/>
    <cellStyle name="20 % – Zvýraznění1 6" xfId="877"/>
    <cellStyle name="20 % – Zvýraznění1 7" xfId="878"/>
    <cellStyle name="20 % – Zvýraznění1 8" xfId="879"/>
    <cellStyle name="20 % – Zvýraznění1 9" xfId="880"/>
    <cellStyle name="20 % – Zvýraznění2" xfId="503"/>
    <cellStyle name="20 % – Zvýraznění2 10" xfId="882"/>
    <cellStyle name="20 % – Zvýraznění2 11" xfId="883"/>
    <cellStyle name="20 % – Zvýraznění2 12" xfId="884"/>
    <cellStyle name="20 % – Zvýraznění2 13" xfId="885"/>
    <cellStyle name="20 % – Zvýraznění2 14" xfId="881"/>
    <cellStyle name="20 % – Zvýraznění2 15" xfId="1412"/>
    <cellStyle name="20 % – Zvýraznění2 2" xfId="886"/>
    <cellStyle name="20 % – Zvýraznění2 3" xfId="887"/>
    <cellStyle name="20 % – Zvýraznění2 4" xfId="888"/>
    <cellStyle name="20 % – Zvýraznění2 5" xfId="889"/>
    <cellStyle name="20 % – Zvýraznění2 6" xfId="890"/>
    <cellStyle name="20 % – Zvýraznění2 7" xfId="891"/>
    <cellStyle name="20 % – Zvýraznění2 8" xfId="892"/>
    <cellStyle name="20 % – Zvýraznění2 9" xfId="893"/>
    <cellStyle name="20 % – Zvýraznění3" xfId="504"/>
    <cellStyle name="20 % – Zvýraznění3 10" xfId="895"/>
    <cellStyle name="20 % – Zvýraznění3 11" xfId="896"/>
    <cellStyle name="20 % – Zvýraznění3 12" xfId="897"/>
    <cellStyle name="20 % – Zvýraznění3 13" xfId="898"/>
    <cellStyle name="20 % – Zvýraznění3 14" xfId="894"/>
    <cellStyle name="20 % – Zvýraznění3 15" xfId="1504"/>
    <cellStyle name="20 % – Zvýraznění3 2" xfId="899"/>
    <cellStyle name="20 % – Zvýraznění3 3" xfId="900"/>
    <cellStyle name="20 % – Zvýraznění3 4" xfId="901"/>
    <cellStyle name="20 % – Zvýraznění3 5" xfId="902"/>
    <cellStyle name="20 % – Zvýraznění3 6" xfId="903"/>
    <cellStyle name="20 % – Zvýraznění3 7" xfId="904"/>
    <cellStyle name="20 % – Zvýraznění3 8" xfId="905"/>
    <cellStyle name="20 % – Zvýraznění3 9" xfId="906"/>
    <cellStyle name="20 % – Zvýraznění4" xfId="505"/>
    <cellStyle name="20 % – Zvýraznění4 10" xfId="908"/>
    <cellStyle name="20 % – Zvýraznění4 11" xfId="909"/>
    <cellStyle name="20 % – Zvýraznění4 12" xfId="910"/>
    <cellStyle name="20 % – Zvýraznění4 13" xfId="911"/>
    <cellStyle name="20 % – Zvýraznění4 14" xfId="907"/>
    <cellStyle name="20 % – Zvýraznění4 15" xfId="1856"/>
    <cellStyle name="20 % – Zvýraznění4 2" xfId="912"/>
    <cellStyle name="20 % – Zvýraznění4 3" xfId="913"/>
    <cellStyle name="20 % – Zvýraznění4 4" xfId="914"/>
    <cellStyle name="20 % – Zvýraznění4 5" xfId="915"/>
    <cellStyle name="20 % – Zvýraznění4 6" xfId="916"/>
    <cellStyle name="20 % – Zvýraznění4 7" xfId="917"/>
    <cellStyle name="20 % – Zvýraznění4 8" xfId="918"/>
    <cellStyle name="20 % – Zvýraznění4 9" xfId="919"/>
    <cellStyle name="20 % – Zvýraznění5" xfId="506"/>
    <cellStyle name="20 % – Zvýraznění5 10" xfId="921"/>
    <cellStyle name="20 % – Zvýraznění5 11" xfId="922"/>
    <cellStyle name="20 % – Zvýraznění5 12" xfId="923"/>
    <cellStyle name="20 % – Zvýraznění5 13" xfId="924"/>
    <cellStyle name="20 % – Zvýraznění5 14" xfId="920"/>
    <cellStyle name="20 % – Zvýraznění5 15" xfId="1774"/>
    <cellStyle name="20 % – Zvýraznění5 2" xfId="925"/>
    <cellStyle name="20 % – Zvýraznění5 3" xfId="926"/>
    <cellStyle name="20 % – Zvýraznění5 4" xfId="927"/>
    <cellStyle name="20 % – Zvýraznění5 5" xfId="928"/>
    <cellStyle name="20 % – Zvýraznění5 6" xfId="929"/>
    <cellStyle name="20 % – Zvýraznění5 7" xfId="930"/>
    <cellStyle name="20 % – Zvýraznění5 8" xfId="931"/>
    <cellStyle name="20 % – Zvýraznění5 9" xfId="932"/>
    <cellStyle name="20 % – Zvýraznění6" xfId="507"/>
    <cellStyle name="20 % – Zvýraznění6 10" xfId="934"/>
    <cellStyle name="20 % – Zvýraznění6 11" xfId="935"/>
    <cellStyle name="20 % – Zvýraznění6 12" xfId="936"/>
    <cellStyle name="20 % – Zvýraznění6 13" xfId="937"/>
    <cellStyle name="20 % – Zvýraznění6 14" xfId="933"/>
    <cellStyle name="20 % – Zvýraznění6 15" xfId="1640"/>
    <cellStyle name="20 % – Zvýraznění6 2" xfId="938"/>
    <cellStyle name="20 % – Zvýraznění6 3" xfId="939"/>
    <cellStyle name="20 % – Zvýraznění6 4" xfId="940"/>
    <cellStyle name="20 % – Zvýraznění6 5" xfId="941"/>
    <cellStyle name="20 % – Zvýraznění6 6" xfId="942"/>
    <cellStyle name="20 % – Zvýraznění6 7" xfId="943"/>
    <cellStyle name="20 % – Zvýraznění6 8" xfId="944"/>
    <cellStyle name="20 % – Zvýraznění6 9" xfId="945"/>
    <cellStyle name="20 % - zvýraznenie1" xfId="1"/>
    <cellStyle name="20 % - zvýraznenie1 2" xfId="1538"/>
    <cellStyle name="20 % - zvýraznenie1 2 2" xfId="7916"/>
    <cellStyle name="20 % - zvýraznenie1 2 2 2" xfId="11081"/>
    <cellStyle name="20 % - zvýraznenie1 2 2 3" xfId="17236"/>
    <cellStyle name="20 % - zvýraznenie1 2 2 4" xfId="23363"/>
    <cellStyle name="20 % - zvýraznenie1 3" xfId="2549"/>
    <cellStyle name="20 % - zvýraznenie1 4" xfId="7917"/>
    <cellStyle name="20 % - zvýraznenie1 4 2" xfId="11089"/>
    <cellStyle name="20 % - zvýraznenie1 4 3" xfId="17244"/>
    <cellStyle name="20 % - zvýraznenie1 4 4" xfId="23371"/>
    <cellStyle name="20 % - zvýraznenie1 5" xfId="8034"/>
    <cellStyle name="20 % - zvýraznenie1 5 2" xfId="15079"/>
    <cellStyle name="20 % - zvýraznenie1 5 3" xfId="21207"/>
    <cellStyle name="20 % - zvýraznenie2" xfId="2"/>
    <cellStyle name="20 % - zvýraznenie2 2" xfId="1940"/>
    <cellStyle name="20 % - zvýraznenie2 2 2" xfId="7918"/>
    <cellStyle name="20 % - zvýraznenie2 2 2 2" xfId="11075"/>
    <cellStyle name="20 % - zvýraznenie2 2 2 3" xfId="17230"/>
    <cellStyle name="20 % - zvýraznenie2 2 2 4" xfId="23357"/>
    <cellStyle name="20 % - zvýraznenie2 3" xfId="2550"/>
    <cellStyle name="20 % - zvýraznenie2 4" xfId="7919"/>
    <cellStyle name="20 % - zvýraznenie2 4 2" xfId="11087"/>
    <cellStyle name="20 % - zvýraznenie2 4 3" xfId="17242"/>
    <cellStyle name="20 % - zvýraznenie2 4 4" xfId="23369"/>
    <cellStyle name="20 % - zvýraznenie2 5" xfId="8036"/>
    <cellStyle name="20 % - zvýraznenie2 5 2" xfId="15081"/>
    <cellStyle name="20 % - zvýraznenie2 5 3" xfId="21209"/>
    <cellStyle name="20 % - zvýraznenie3" xfId="3"/>
    <cellStyle name="20 % - zvýraznenie3 2" xfId="1844"/>
    <cellStyle name="20 % - zvýraznenie3 2 2" xfId="7920"/>
    <cellStyle name="20 % - zvýraznenie3 2 2 2" xfId="11082"/>
    <cellStyle name="20 % - zvýraznenie3 2 2 3" xfId="17237"/>
    <cellStyle name="20 % - zvýraznenie3 2 2 4" xfId="23364"/>
    <cellStyle name="20 % - zvýraznenie3 3" xfId="2551"/>
    <cellStyle name="20 % - zvýraznenie3 4" xfId="7921"/>
    <cellStyle name="20 % - zvýraznenie3 4 2" xfId="11090"/>
    <cellStyle name="20 % - zvýraznenie3 4 3" xfId="17245"/>
    <cellStyle name="20 % - zvýraznenie3 4 4" xfId="23372"/>
    <cellStyle name="20 % - zvýraznenie3 5" xfId="8038"/>
    <cellStyle name="20 % - zvýraznenie3 5 2" xfId="15083"/>
    <cellStyle name="20 % - zvýraznenie3 5 3" xfId="21211"/>
    <cellStyle name="20 % - zvýraznenie4" xfId="4"/>
    <cellStyle name="20 % - zvýraznenie4 2" xfId="1924"/>
    <cellStyle name="20 % - zvýraznenie4 2 2" xfId="7922"/>
    <cellStyle name="20 % - zvýraznenie4 2 2 2" xfId="11084"/>
    <cellStyle name="20 % - zvýraznenie4 2 2 3" xfId="17239"/>
    <cellStyle name="20 % - zvýraznenie4 2 2 4" xfId="23366"/>
    <cellStyle name="20 % - zvýraznenie4 3" xfId="2552"/>
    <cellStyle name="20 % - zvýraznenie4 4" xfId="7923"/>
    <cellStyle name="20 % - zvýraznenie4 4 2" xfId="11091"/>
    <cellStyle name="20 % - zvýraznenie4 4 3" xfId="17246"/>
    <cellStyle name="20 % - zvýraznenie4 4 4" xfId="23373"/>
    <cellStyle name="20 % - zvýraznenie4 5" xfId="8040"/>
    <cellStyle name="20 % - zvýraznenie4 5 2" xfId="15085"/>
    <cellStyle name="20 % - zvýraznenie4 5 3" xfId="21213"/>
    <cellStyle name="20 % - zvýraznenie5" xfId="5"/>
    <cellStyle name="20 % - zvýraznenie5 2" xfId="1937"/>
    <cellStyle name="20 % - zvýraznenie5 2 2" xfId="7924"/>
    <cellStyle name="20 % - zvýraznenie5 2 2 2" xfId="11088"/>
    <cellStyle name="20 % - zvýraznenie5 2 2 3" xfId="17243"/>
    <cellStyle name="20 % - zvýraznenie5 2 2 4" xfId="23370"/>
    <cellStyle name="20 % - zvýraznenie5 3" xfId="2553"/>
    <cellStyle name="20 % - zvýraznenie5 4" xfId="7925"/>
    <cellStyle name="20 % - zvýraznenie5 4 2" xfId="11086"/>
    <cellStyle name="20 % - zvýraznenie5 4 3" xfId="17241"/>
    <cellStyle name="20 % - zvýraznenie5 4 4" xfId="23368"/>
    <cellStyle name="20 % - zvýraznenie5 5" xfId="8042"/>
    <cellStyle name="20 % - zvýraznenie5 5 2" xfId="15087"/>
    <cellStyle name="20 % - zvýraznenie5 5 3" xfId="21215"/>
    <cellStyle name="20 % - zvýraznenie6" xfId="6"/>
    <cellStyle name="20 % - zvýraznenie6 2" xfId="1707"/>
    <cellStyle name="20 % - zvýraznenie6 2 2" xfId="7926"/>
    <cellStyle name="20 % - zvýraznenie6 2 2 2" xfId="11073"/>
    <cellStyle name="20 % - zvýraznenie6 2 2 3" xfId="17228"/>
    <cellStyle name="20 % - zvýraznenie6 2 2 4" xfId="23355"/>
    <cellStyle name="20 % - zvýraznenie6 3" xfId="2554"/>
    <cellStyle name="20 % - zvýraznenie6 4" xfId="7927"/>
    <cellStyle name="20 % - zvýraznenie6 4 2" xfId="11074"/>
    <cellStyle name="20 % - zvýraznenie6 4 3" xfId="17229"/>
    <cellStyle name="20 % - zvýraznenie6 4 4" xfId="23356"/>
    <cellStyle name="20 % - zvýraznenie6 5" xfId="8044"/>
    <cellStyle name="20 % - zvýraznenie6 5 2" xfId="15089"/>
    <cellStyle name="20 % - zvýraznenie6 5 3" xfId="21217"/>
    <cellStyle name="20 % - Accent1" xfId="508"/>
    <cellStyle name="20 % - Accent2" xfId="509"/>
    <cellStyle name="20 % - Accent3" xfId="510"/>
    <cellStyle name="20 % - Accent4" xfId="511"/>
    <cellStyle name="20 % - Accent5" xfId="512"/>
    <cellStyle name="20 % - Accent6" xfId="513"/>
    <cellStyle name="20% - Accent1 10" xfId="15065"/>
    <cellStyle name="20% - Accent1 11" xfId="20315"/>
    <cellStyle name="20% - Accent1 2" xfId="32"/>
    <cellStyle name="20% - Accent1 2 10" xfId="2669"/>
    <cellStyle name="20% - Accent1 2 10 2" xfId="5809"/>
    <cellStyle name="20% - Accent1 2 10 2 2" xfId="12051"/>
    <cellStyle name="20% - Accent1 2 10 2 3" xfId="18206"/>
    <cellStyle name="20% - Accent1 2 10 2 4" xfId="24333"/>
    <cellStyle name="20% - Accent1 2 10 3" xfId="8963"/>
    <cellStyle name="20% - Accent1 2 10 4" xfId="15129"/>
    <cellStyle name="20% - Accent1 2 10 5" xfId="21257"/>
    <cellStyle name="20% - Accent1 2 11" xfId="4890"/>
    <cellStyle name="20% - Accent1 2 11 2" xfId="11134"/>
    <cellStyle name="20% - Accent1 2 11 3" xfId="17289"/>
    <cellStyle name="20% - Accent1 2 11 4" xfId="23416"/>
    <cellStyle name="20% - Accent1 2 12" xfId="8048"/>
    <cellStyle name="20% - Accent1 2 13" xfId="14189"/>
    <cellStyle name="20% - Accent1 2 14" xfId="20328"/>
    <cellStyle name="20% - Accent1 2 2" xfId="33"/>
    <cellStyle name="20% - Accent1 2 2 10" xfId="4891"/>
    <cellStyle name="20% - Accent1 2 2 10 2" xfId="11135"/>
    <cellStyle name="20% - Accent1 2 2 10 3" xfId="17290"/>
    <cellStyle name="20% - Accent1 2 2 10 4" xfId="23417"/>
    <cellStyle name="20% - Accent1 2 2 11" xfId="8049"/>
    <cellStyle name="20% - Accent1 2 2 12" xfId="14190"/>
    <cellStyle name="20% - Accent1 2 2 13" xfId="20329"/>
    <cellStyle name="20% - Accent1 2 2 2" xfId="1983"/>
    <cellStyle name="20% - Accent1 2 2 2 10" xfId="20660"/>
    <cellStyle name="20% - Accent1 2 2 2 2" xfId="2369"/>
    <cellStyle name="20% - Accent1 2 2 2 2 2" xfId="2673"/>
    <cellStyle name="20% - Accent1 2 2 2 2 2 2" xfId="5813"/>
    <cellStyle name="20% - Accent1 2 2 2 2 2 2 2" xfId="12055"/>
    <cellStyle name="20% - Accent1 2 2 2 2 2 2 3" xfId="18210"/>
    <cellStyle name="20% - Accent1 2 2 2 2 2 2 4" xfId="24337"/>
    <cellStyle name="20% - Accent1 2 2 2 2 2 3" xfId="8967"/>
    <cellStyle name="20% - Accent1 2 2 2 2 2 4" xfId="15133"/>
    <cellStyle name="20% - Accent1 2 2 2 2 2 5" xfId="21261"/>
    <cellStyle name="20% - Accent1 2 2 2 2 3" xfId="2672"/>
    <cellStyle name="20% - Accent1 2 2 2 2 3 2" xfId="5812"/>
    <cellStyle name="20% - Accent1 2 2 2 2 3 2 2" xfId="12054"/>
    <cellStyle name="20% - Accent1 2 2 2 2 3 2 3" xfId="18209"/>
    <cellStyle name="20% - Accent1 2 2 2 2 3 2 4" xfId="24336"/>
    <cellStyle name="20% - Accent1 2 2 2 2 3 3" xfId="8966"/>
    <cellStyle name="20% - Accent1 2 2 2 2 3 4" xfId="15132"/>
    <cellStyle name="20% - Accent1 2 2 2 2 3 5" xfId="21260"/>
    <cellStyle name="20% - Accent1 2 2 2 2 4" xfId="5682"/>
    <cellStyle name="20% - Accent1 2 2 2 2 4 2" xfId="11924"/>
    <cellStyle name="20% - Accent1 2 2 2 2 4 3" xfId="18079"/>
    <cellStyle name="20% - Accent1 2 2 2 2 4 4" xfId="24206"/>
    <cellStyle name="20% - Accent1 2 2 2 2 5" xfId="8836"/>
    <cellStyle name="20% - Accent1 2 2 2 2 6" xfId="14192"/>
    <cellStyle name="20% - Accent1 2 2 2 2 7" xfId="21016"/>
    <cellStyle name="20% - Accent1 2 2 2 3" xfId="2194"/>
    <cellStyle name="20% - Accent1 2 2 2 3 2" xfId="2675"/>
    <cellStyle name="20% - Accent1 2 2 2 3 2 2" xfId="5815"/>
    <cellStyle name="20% - Accent1 2 2 2 3 2 2 2" xfId="12057"/>
    <cellStyle name="20% - Accent1 2 2 2 3 2 2 3" xfId="18212"/>
    <cellStyle name="20% - Accent1 2 2 2 3 2 2 4" xfId="24339"/>
    <cellStyle name="20% - Accent1 2 2 2 3 2 3" xfId="8969"/>
    <cellStyle name="20% - Accent1 2 2 2 3 2 4" xfId="15135"/>
    <cellStyle name="20% - Accent1 2 2 2 3 2 5" xfId="21263"/>
    <cellStyle name="20% - Accent1 2 2 2 3 3" xfId="2674"/>
    <cellStyle name="20% - Accent1 2 2 2 3 3 2" xfId="5814"/>
    <cellStyle name="20% - Accent1 2 2 2 3 3 2 2" xfId="12056"/>
    <cellStyle name="20% - Accent1 2 2 2 3 3 2 3" xfId="18211"/>
    <cellStyle name="20% - Accent1 2 2 2 3 3 2 4" xfId="24338"/>
    <cellStyle name="20% - Accent1 2 2 2 3 3 3" xfId="8968"/>
    <cellStyle name="20% - Accent1 2 2 2 3 3 4" xfId="15134"/>
    <cellStyle name="20% - Accent1 2 2 2 3 3 5" xfId="21262"/>
    <cellStyle name="20% - Accent1 2 2 2 3 4" xfId="5507"/>
    <cellStyle name="20% - Accent1 2 2 2 3 4 2" xfId="11749"/>
    <cellStyle name="20% - Accent1 2 2 2 3 4 3" xfId="17904"/>
    <cellStyle name="20% - Accent1 2 2 2 3 4 4" xfId="24031"/>
    <cellStyle name="20% - Accent1 2 2 2 3 5" xfId="8661"/>
    <cellStyle name="20% - Accent1 2 2 2 3 6" xfId="14193"/>
    <cellStyle name="20% - Accent1 2 2 2 3 7" xfId="20841"/>
    <cellStyle name="20% - Accent1 2 2 2 4" xfId="2676"/>
    <cellStyle name="20% - Accent1 2 2 2 4 2" xfId="5816"/>
    <cellStyle name="20% - Accent1 2 2 2 4 2 2" xfId="12058"/>
    <cellStyle name="20% - Accent1 2 2 2 4 2 3" xfId="18213"/>
    <cellStyle name="20% - Accent1 2 2 2 4 2 4" xfId="24340"/>
    <cellStyle name="20% - Accent1 2 2 2 4 3" xfId="8970"/>
    <cellStyle name="20% - Accent1 2 2 2 4 4" xfId="15136"/>
    <cellStyle name="20% - Accent1 2 2 2 4 5" xfId="21264"/>
    <cellStyle name="20% - Accent1 2 2 2 5" xfId="2677"/>
    <cellStyle name="20% - Accent1 2 2 2 5 2" xfId="5817"/>
    <cellStyle name="20% - Accent1 2 2 2 5 2 2" xfId="12059"/>
    <cellStyle name="20% - Accent1 2 2 2 5 2 3" xfId="18214"/>
    <cellStyle name="20% - Accent1 2 2 2 5 2 4" xfId="24341"/>
    <cellStyle name="20% - Accent1 2 2 2 5 3" xfId="8971"/>
    <cellStyle name="20% - Accent1 2 2 2 5 4" xfId="15137"/>
    <cellStyle name="20% - Accent1 2 2 2 5 5" xfId="21265"/>
    <cellStyle name="20% - Accent1 2 2 2 6" xfId="2671"/>
    <cellStyle name="20% - Accent1 2 2 2 6 2" xfId="5811"/>
    <cellStyle name="20% - Accent1 2 2 2 6 2 2" xfId="12053"/>
    <cellStyle name="20% - Accent1 2 2 2 6 2 3" xfId="18208"/>
    <cellStyle name="20% - Accent1 2 2 2 6 2 4" xfId="24335"/>
    <cellStyle name="20% - Accent1 2 2 2 6 3" xfId="8965"/>
    <cellStyle name="20% - Accent1 2 2 2 6 4" xfId="15131"/>
    <cellStyle name="20% - Accent1 2 2 2 6 5" xfId="21259"/>
    <cellStyle name="20% - Accent1 2 2 2 7" xfId="5325"/>
    <cellStyle name="20% - Accent1 2 2 2 7 2" xfId="11567"/>
    <cellStyle name="20% - Accent1 2 2 2 7 3" xfId="17722"/>
    <cellStyle name="20% - Accent1 2 2 2 7 4" xfId="23849"/>
    <cellStyle name="20% - Accent1 2 2 2 8" xfId="8480"/>
    <cellStyle name="20% - Accent1 2 2 2 9" xfId="14191"/>
    <cellStyle name="20% - Accent1 2 2 3" xfId="2286"/>
    <cellStyle name="20% - Accent1 2 2 3 2" xfId="2679"/>
    <cellStyle name="20% - Accent1 2 2 3 2 2" xfId="5819"/>
    <cellStyle name="20% - Accent1 2 2 3 2 2 2" xfId="12061"/>
    <cellStyle name="20% - Accent1 2 2 3 2 2 3" xfId="18216"/>
    <cellStyle name="20% - Accent1 2 2 3 2 2 4" xfId="24343"/>
    <cellStyle name="20% - Accent1 2 2 3 2 3" xfId="8973"/>
    <cellStyle name="20% - Accent1 2 2 3 2 4" xfId="15139"/>
    <cellStyle name="20% - Accent1 2 2 3 2 5" xfId="21267"/>
    <cellStyle name="20% - Accent1 2 2 3 3" xfId="2678"/>
    <cellStyle name="20% - Accent1 2 2 3 3 2" xfId="5818"/>
    <cellStyle name="20% - Accent1 2 2 3 3 2 2" xfId="12060"/>
    <cellStyle name="20% - Accent1 2 2 3 3 2 3" xfId="18215"/>
    <cellStyle name="20% - Accent1 2 2 3 3 2 4" xfId="24342"/>
    <cellStyle name="20% - Accent1 2 2 3 3 3" xfId="8972"/>
    <cellStyle name="20% - Accent1 2 2 3 3 4" xfId="15138"/>
    <cellStyle name="20% - Accent1 2 2 3 3 5" xfId="21266"/>
    <cellStyle name="20% - Accent1 2 2 3 4" xfId="5599"/>
    <cellStyle name="20% - Accent1 2 2 3 4 2" xfId="11841"/>
    <cellStyle name="20% - Accent1 2 2 3 4 3" xfId="17996"/>
    <cellStyle name="20% - Accent1 2 2 3 4 4" xfId="24123"/>
    <cellStyle name="20% - Accent1 2 2 3 5" xfId="8753"/>
    <cellStyle name="20% - Accent1 2 2 3 6" xfId="14194"/>
    <cellStyle name="20% - Accent1 2 2 3 7" xfId="20933"/>
    <cellStyle name="20% - Accent1 2 2 4" xfId="2119"/>
    <cellStyle name="20% - Accent1 2 2 4 2" xfId="2681"/>
    <cellStyle name="20% - Accent1 2 2 4 2 2" xfId="5821"/>
    <cellStyle name="20% - Accent1 2 2 4 2 2 2" xfId="12063"/>
    <cellStyle name="20% - Accent1 2 2 4 2 2 3" xfId="18218"/>
    <cellStyle name="20% - Accent1 2 2 4 2 2 4" xfId="24345"/>
    <cellStyle name="20% - Accent1 2 2 4 2 3" xfId="8975"/>
    <cellStyle name="20% - Accent1 2 2 4 2 4" xfId="15141"/>
    <cellStyle name="20% - Accent1 2 2 4 2 5" xfId="21269"/>
    <cellStyle name="20% - Accent1 2 2 4 3" xfId="2680"/>
    <cellStyle name="20% - Accent1 2 2 4 3 2" xfId="5820"/>
    <cellStyle name="20% - Accent1 2 2 4 3 2 2" xfId="12062"/>
    <cellStyle name="20% - Accent1 2 2 4 3 2 3" xfId="18217"/>
    <cellStyle name="20% - Accent1 2 2 4 3 2 4" xfId="24344"/>
    <cellStyle name="20% - Accent1 2 2 4 3 3" xfId="8974"/>
    <cellStyle name="20% - Accent1 2 2 4 3 4" xfId="15140"/>
    <cellStyle name="20% - Accent1 2 2 4 3 5" xfId="21268"/>
    <cellStyle name="20% - Accent1 2 2 4 4" xfId="5432"/>
    <cellStyle name="20% - Accent1 2 2 4 4 2" xfId="11674"/>
    <cellStyle name="20% - Accent1 2 2 4 4 3" xfId="17829"/>
    <cellStyle name="20% - Accent1 2 2 4 4 4" xfId="23956"/>
    <cellStyle name="20% - Accent1 2 2 4 5" xfId="8586"/>
    <cellStyle name="20% - Accent1 2 2 4 6" xfId="14195"/>
    <cellStyle name="20% - Accent1 2 2 4 7" xfId="20766"/>
    <cellStyle name="20% - Accent1 2 2 5" xfId="756"/>
    <cellStyle name="20% - Accent1 2 2 5 2" xfId="2683"/>
    <cellStyle name="20% - Accent1 2 2 5 2 2" xfId="5823"/>
    <cellStyle name="20% - Accent1 2 2 5 2 2 2" xfId="12065"/>
    <cellStyle name="20% - Accent1 2 2 5 2 2 3" xfId="18220"/>
    <cellStyle name="20% - Accent1 2 2 5 2 2 4" xfId="24347"/>
    <cellStyle name="20% - Accent1 2 2 5 2 3" xfId="8977"/>
    <cellStyle name="20% - Accent1 2 2 5 2 4" xfId="15143"/>
    <cellStyle name="20% - Accent1 2 2 5 2 5" xfId="21271"/>
    <cellStyle name="20% - Accent1 2 2 5 3" xfId="2682"/>
    <cellStyle name="20% - Accent1 2 2 5 3 2" xfId="5822"/>
    <cellStyle name="20% - Accent1 2 2 5 3 2 2" xfId="12064"/>
    <cellStyle name="20% - Accent1 2 2 5 3 2 3" xfId="18219"/>
    <cellStyle name="20% - Accent1 2 2 5 3 2 4" xfId="24346"/>
    <cellStyle name="20% - Accent1 2 2 5 3 3" xfId="8976"/>
    <cellStyle name="20% - Accent1 2 2 5 3 4" xfId="15142"/>
    <cellStyle name="20% - Accent1 2 2 5 3 5" xfId="21270"/>
    <cellStyle name="20% - Accent1 2 2 5 4" xfId="5105"/>
    <cellStyle name="20% - Accent1 2 2 5 4 2" xfId="11348"/>
    <cellStyle name="20% - Accent1 2 2 5 4 3" xfId="17503"/>
    <cellStyle name="20% - Accent1 2 2 5 4 4" xfId="23630"/>
    <cellStyle name="20% - Accent1 2 2 5 5" xfId="8262"/>
    <cellStyle name="20% - Accent1 2 2 5 6" xfId="14196"/>
    <cellStyle name="20% - Accent1 2 2 5 7" xfId="20445"/>
    <cellStyle name="20% - Accent1 2 2 6" xfId="203"/>
    <cellStyle name="20% - Accent1 2 2 6 2" xfId="2685"/>
    <cellStyle name="20% - Accent1 2 2 6 2 2" xfId="5825"/>
    <cellStyle name="20% - Accent1 2 2 6 2 2 2" xfId="12067"/>
    <cellStyle name="20% - Accent1 2 2 6 2 2 3" xfId="18222"/>
    <cellStyle name="20% - Accent1 2 2 6 2 2 4" xfId="24349"/>
    <cellStyle name="20% - Accent1 2 2 6 2 3" xfId="8979"/>
    <cellStyle name="20% - Accent1 2 2 6 2 4" xfId="15145"/>
    <cellStyle name="20% - Accent1 2 2 6 2 5" xfId="21273"/>
    <cellStyle name="20% - Accent1 2 2 6 3" xfId="2684"/>
    <cellStyle name="20% - Accent1 2 2 6 3 2" xfId="5824"/>
    <cellStyle name="20% - Accent1 2 2 6 3 2 2" xfId="12066"/>
    <cellStyle name="20% - Accent1 2 2 6 3 2 3" xfId="18221"/>
    <cellStyle name="20% - Accent1 2 2 6 3 2 4" xfId="24348"/>
    <cellStyle name="20% - Accent1 2 2 6 3 3" xfId="8978"/>
    <cellStyle name="20% - Accent1 2 2 6 3 4" xfId="15144"/>
    <cellStyle name="20% - Accent1 2 2 6 3 5" xfId="21272"/>
    <cellStyle name="20% - Accent1 2 2 6 4" xfId="4983"/>
    <cellStyle name="20% - Accent1 2 2 6 4 2" xfId="11226"/>
    <cellStyle name="20% - Accent1 2 2 6 4 3" xfId="17381"/>
    <cellStyle name="20% - Accent1 2 2 6 4 4" xfId="23508"/>
    <cellStyle name="20% - Accent1 2 2 6 5" xfId="8141"/>
    <cellStyle name="20% - Accent1 2 2 6 6" xfId="14197"/>
    <cellStyle name="20% - Accent1 2 2 6 7" xfId="21137"/>
    <cellStyle name="20% - Accent1 2 2 7" xfId="2686"/>
    <cellStyle name="20% - Accent1 2 2 7 2" xfId="5826"/>
    <cellStyle name="20% - Accent1 2 2 7 2 2" xfId="12068"/>
    <cellStyle name="20% - Accent1 2 2 7 2 3" xfId="18223"/>
    <cellStyle name="20% - Accent1 2 2 7 2 4" xfId="24350"/>
    <cellStyle name="20% - Accent1 2 2 7 3" xfId="8980"/>
    <cellStyle name="20% - Accent1 2 2 7 4" xfId="15146"/>
    <cellStyle name="20% - Accent1 2 2 7 5" xfId="21274"/>
    <cellStyle name="20% - Accent1 2 2 8" xfId="2687"/>
    <cellStyle name="20% - Accent1 2 2 8 2" xfId="5827"/>
    <cellStyle name="20% - Accent1 2 2 8 2 2" xfId="12069"/>
    <cellStyle name="20% - Accent1 2 2 8 2 3" xfId="18224"/>
    <cellStyle name="20% - Accent1 2 2 8 2 4" xfId="24351"/>
    <cellStyle name="20% - Accent1 2 2 8 3" xfId="8981"/>
    <cellStyle name="20% - Accent1 2 2 8 4" xfId="15147"/>
    <cellStyle name="20% - Accent1 2 2 8 5" xfId="21275"/>
    <cellStyle name="20% - Accent1 2 2 9" xfId="2670"/>
    <cellStyle name="20% - Accent1 2 2 9 2" xfId="5810"/>
    <cellStyle name="20% - Accent1 2 2 9 2 2" xfId="12052"/>
    <cellStyle name="20% - Accent1 2 2 9 2 3" xfId="18207"/>
    <cellStyle name="20% - Accent1 2 2 9 2 4" xfId="24334"/>
    <cellStyle name="20% - Accent1 2 2 9 3" xfId="8964"/>
    <cellStyle name="20% - Accent1 2 2 9 4" xfId="15130"/>
    <cellStyle name="20% - Accent1 2 2 9 5" xfId="21258"/>
    <cellStyle name="20% - Accent1 2 3" xfId="946"/>
    <cellStyle name="20% - Accent1 2 3 2" xfId="2368"/>
    <cellStyle name="20% - Accent1 2 3 2 2" xfId="2689"/>
    <cellStyle name="20% - Accent1 2 3 2 2 2" xfId="5829"/>
    <cellStyle name="20% - Accent1 2 3 2 2 2 2" xfId="12071"/>
    <cellStyle name="20% - Accent1 2 3 2 2 2 3" xfId="18226"/>
    <cellStyle name="20% - Accent1 2 3 2 2 2 4" xfId="24353"/>
    <cellStyle name="20% - Accent1 2 3 2 2 3" xfId="8983"/>
    <cellStyle name="20% - Accent1 2 3 2 2 4" xfId="15149"/>
    <cellStyle name="20% - Accent1 2 3 2 2 5" xfId="21277"/>
    <cellStyle name="20% - Accent1 2 3 2 3" xfId="2688"/>
    <cellStyle name="20% - Accent1 2 3 2 3 2" xfId="5828"/>
    <cellStyle name="20% - Accent1 2 3 2 3 2 2" xfId="12070"/>
    <cellStyle name="20% - Accent1 2 3 2 3 2 3" xfId="18225"/>
    <cellStyle name="20% - Accent1 2 3 2 3 2 4" xfId="24352"/>
    <cellStyle name="20% - Accent1 2 3 2 3 3" xfId="8982"/>
    <cellStyle name="20% - Accent1 2 3 2 3 4" xfId="15148"/>
    <cellStyle name="20% - Accent1 2 3 2 3 5" xfId="21276"/>
    <cellStyle name="20% - Accent1 2 3 2 4" xfId="5681"/>
    <cellStyle name="20% - Accent1 2 3 2 4 2" xfId="11923"/>
    <cellStyle name="20% - Accent1 2 3 2 4 3" xfId="18078"/>
    <cellStyle name="20% - Accent1 2 3 2 4 4" xfId="24205"/>
    <cellStyle name="20% - Accent1 2 3 2 5" xfId="8835"/>
    <cellStyle name="20% - Accent1 2 3 2 6" xfId="14198"/>
    <cellStyle name="20% - Accent1 2 3 2 7" xfId="21015"/>
    <cellStyle name="20% - Accent1 2 3 3" xfId="2193"/>
    <cellStyle name="20% - Accent1 2 3 3 2" xfId="2691"/>
    <cellStyle name="20% - Accent1 2 3 3 2 2" xfId="5831"/>
    <cellStyle name="20% - Accent1 2 3 3 2 2 2" xfId="12073"/>
    <cellStyle name="20% - Accent1 2 3 3 2 2 3" xfId="18228"/>
    <cellStyle name="20% - Accent1 2 3 3 2 2 4" xfId="24355"/>
    <cellStyle name="20% - Accent1 2 3 3 2 3" xfId="8985"/>
    <cellStyle name="20% - Accent1 2 3 3 2 4" xfId="15151"/>
    <cellStyle name="20% - Accent1 2 3 3 2 5" xfId="21279"/>
    <cellStyle name="20% - Accent1 2 3 3 3" xfId="2690"/>
    <cellStyle name="20% - Accent1 2 3 3 3 2" xfId="5830"/>
    <cellStyle name="20% - Accent1 2 3 3 3 2 2" xfId="12072"/>
    <cellStyle name="20% - Accent1 2 3 3 3 2 3" xfId="18227"/>
    <cellStyle name="20% - Accent1 2 3 3 3 2 4" xfId="24354"/>
    <cellStyle name="20% - Accent1 2 3 3 3 3" xfId="8984"/>
    <cellStyle name="20% - Accent1 2 3 3 3 4" xfId="15150"/>
    <cellStyle name="20% - Accent1 2 3 3 3 5" xfId="21278"/>
    <cellStyle name="20% - Accent1 2 3 3 4" xfId="5506"/>
    <cellStyle name="20% - Accent1 2 3 3 4 2" xfId="11748"/>
    <cellStyle name="20% - Accent1 2 3 3 4 3" xfId="17903"/>
    <cellStyle name="20% - Accent1 2 3 3 4 4" xfId="24030"/>
    <cellStyle name="20% - Accent1 2 3 3 5" xfId="8660"/>
    <cellStyle name="20% - Accent1 2 3 3 6" xfId="14199"/>
    <cellStyle name="20% - Accent1 2 3 3 7" xfId="20840"/>
    <cellStyle name="20% - Accent1 2 3 4" xfId="1982"/>
    <cellStyle name="20% - Accent1 2 3 4 2" xfId="2693"/>
    <cellStyle name="20% - Accent1 2 3 4 2 2" xfId="5833"/>
    <cellStyle name="20% - Accent1 2 3 4 2 2 2" xfId="12075"/>
    <cellStyle name="20% - Accent1 2 3 4 2 2 3" xfId="18230"/>
    <cellStyle name="20% - Accent1 2 3 4 2 2 4" xfId="24357"/>
    <cellStyle name="20% - Accent1 2 3 4 2 3" xfId="8987"/>
    <cellStyle name="20% - Accent1 2 3 4 2 4" xfId="15153"/>
    <cellStyle name="20% - Accent1 2 3 4 2 5" xfId="21281"/>
    <cellStyle name="20% - Accent1 2 3 4 3" xfId="2692"/>
    <cellStyle name="20% - Accent1 2 3 4 3 2" xfId="5832"/>
    <cellStyle name="20% - Accent1 2 3 4 3 2 2" xfId="12074"/>
    <cellStyle name="20% - Accent1 2 3 4 3 2 3" xfId="18229"/>
    <cellStyle name="20% - Accent1 2 3 4 3 2 4" xfId="24356"/>
    <cellStyle name="20% - Accent1 2 3 4 3 3" xfId="8986"/>
    <cellStyle name="20% - Accent1 2 3 4 3 4" xfId="15152"/>
    <cellStyle name="20% - Accent1 2 3 4 3 5" xfId="21280"/>
    <cellStyle name="20% - Accent1 2 3 4 4" xfId="5324"/>
    <cellStyle name="20% - Accent1 2 3 4 4 2" xfId="11566"/>
    <cellStyle name="20% - Accent1 2 3 4 4 3" xfId="17721"/>
    <cellStyle name="20% - Accent1 2 3 4 4 4" xfId="23848"/>
    <cellStyle name="20% - Accent1 2 3 4 5" xfId="8479"/>
    <cellStyle name="20% - Accent1 2 3 4 6" xfId="14200"/>
    <cellStyle name="20% - Accent1 2 3 4 7" xfId="20659"/>
    <cellStyle name="20% - Accent1 2 3 5" xfId="2694"/>
    <cellStyle name="20% - Accent1 2 3 6" xfId="2695"/>
    <cellStyle name="20% - Accent1 2 3 6 2" xfId="5834"/>
    <cellStyle name="20% - Accent1 2 3 6 2 2" xfId="12076"/>
    <cellStyle name="20% - Accent1 2 3 6 2 3" xfId="18231"/>
    <cellStyle name="20% - Accent1 2 3 6 2 4" xfId="24358"/>
    <cellStyle name="20% - Accent1 2 3 6 3" xfId="8988"/>
    <cellStyle name="20% - Accent1 2 3 6 4" xfId="15154"/>
    <cellStyle name="20% - Accent1 2 3 6 5" xfId="21282"/>
    <cellStyle name="20% - Accent1 2 4" xfId="2285"/>
    <cellStyle name="20% - Accent1 2 4 2" xfId="2697"/>
    <cellStyle name="20% - Accent1 2 4 2 2" xfId="5836"/>
    <cellStyle name="20% - Accent1 2 4 2 2 2" xfId="12078"/>
    <cellStyle name="20% - Accent1 2 4 2 2 3" xfId="18233"/>
    <cellStyle name="20% - Accent1 2 4 2 2 4" xfId="24360"/>
    <cellStyle name="20% - Accent1 2 4 2 3" xfId="8990"/>
    <cellStyle name="20% - Accent1 2 4 2 4" xfId="15156"/>
    <cellStyle name="20% - Accent1 2 4 2 5" xfId="21284"/>
    <cellStyle name="20% - Accent1 2 4 3" xfId="2696"/>
    <cellStyle name="20% - Accent1 2 4 3 2" xfId="5835"/>
    <cellStyle name="20% - Accent1 2 4 3 2 2" xfId="12077"/>
    <cellStyle name="20% - Accent1 2 4 3 2 3" xfId="18232"/>
    <cellStyle name="20% - Accent1 2 4 3 2 4" xfId="24359"/>
    <cellStyle name="20% - Accent1 2 4 3 3" xfId="8989"/>
    <cellStyle name="20% - Accent1 2 4 3 4" xfId="15155"/>
    <cellStyle name="20% - Accent1 2 4 3 5" xfId="21283"/>
    <cellStyle name="20% - Accent1 2 4 4" xfId="5598"/>
    <cellStyle name="20% - Accent1 2 4 4 2" xfId="11840"/>
    <cellStyle name="20% - Accent1 2 4 4 3" xfId="17995"/>
    <cellStyle name="20% - Accent1 2 4 4 4" xfId="24122"/>
    <cellStyle name="20% - Accent1 2 4 5" xfId="8752"/>
    <cellStyle name="20% - Accent1 2 4 6" xfId="14201"/>
    <cellStyle name="20% - Accent1 2 4 7" xfId="20932"/>
    <cellStyle name="20% - Accent1 2 5" xfId="2118"/>
    <cellStyle name="20% - Accent1 2 5 2" xfId="2699"/>
    <cellStyle name="20% - Accent1 2 5 2 2" xfId="5838"/>
    <cellStyle name="20% - Accent1 2 5 2 2 2" xfId="12080"/>
    <cellStyle name="20% - Accent1 2 5 2 2 3" xfId="18235"/>
    <cellStyle name="20% - Accent1 2 5 2 2 4" xfId="24362"/>
    <cellStyle name="20% - Accent1 2 5 2 3" xfId="8992"/>
    <cellStyle name="20% - Accent1 2 5 2 4" xfId="15158"/>
    <cellStyle name="20% - Accent1 2 5 2 5" xfId="21286"/>
    <cellStyle name="20% - Accent1 2 5 3" xfId="2698"/>
    <cellStyle name="20% - Accent1 2 5 3 2" xfId="5837"/>
    <cellStyle name="20% - Accent1 2 5 3 2 2" xfId="12079"/>
    <cellStyle name="20% - Accent1 2 5 3 2 3" xfId="18234"/>
    <cellStyle name="20% - Accent1 2 5 3 2 4" xfId="24361"/>
    <cellStyle name="20% - Accent1 2 5 3 3" xfId="8991"/>
    <cellStyle name="20% - Accent1 2 5 3 4" xfId="15157"/>
    <cellStyle name="20% - Accent1 2 5 3 5" xfId="21285"/>
    <cellStyle name="20% - Accent1 2 5 4" xfId="5431"/>
    <cellStyle name="20% - Accent1 2 5 4 2" xfId="11673"/>
    <cellStyle name="20% - Accent1 2 5 4 3" xfId="17828"/>
    <cellStyle name="20% - Accent1 2 5 4 4" xfId="23955"/>
    <cellStyle name="20% - Accent1 2 5 5" xfId="8585"/>
    <cellStyle name="20% - Accent1 2 5 6" xfId="14202"/>
    <cellStyle name="20% - Accent1 2 5 7" xfId="20765"/>
    <cellStyle name="20% - Accent1 2 6" xfId="755"/>
    <cellStyle name="20% - Accent1 2 6 2" xfId="2701"/>
    <cellStyle name="20% - Accent1 2 6 2 2" xfId="5840"/>
    <cellStyle name="20% - Accent1 2 6 2 2 2" xfId="12082"/>
    <cellStyle name="20% - Accent1 2 6 2 2 3" xfId="18237"/>
    <cellStyle name="20% - Accent1 2 6 2 2 4" xfId="24364"/>
    <cellStyle name="20% - Accent1 2 6 2 3" xfId="8994"/>
    <cellStyle name="20% - Accent1 2 6 2 4" xfId="15160"/>
    <cellStyle name="20% - Accent1 2 6 2 5" xfId="21288"/>
    <cellStyle name="20% - Accent1 2 6 3" xfId="2700"/>
    <cellStyle name="20% - Accent1 2 6 3 2" xfId="5839"/>
    <cellStyle name="20% - Accent1 2 6 3 2 2" xfId="12081"/>
    <cellStyle name="20% - Accent1 2 6 3 2 3" xfId="18236"/>
    <cellStyle name="20% - Accent1 2 6 3 2 4" xfId="24363"/>
    <cellStyle name="20% - Accent1 2 6 3 3" xfId="8993"/>
    <cellStyle name="20% - Accent1 2 6 3 4" xfId="15159"/>
    <cellStyle name="20% - Accent1 2 6 3 5" xfId="21287"/>
    <cellStyle name="20% - Accent1 2 6 4" xfId="5104"/>
    <cellStyle name="20% - Accent1 2 6 4 2" xfId="11347"/>
    <cellStyle name="20% - Accent1 2 6 4 3" xfId="17502"/>
    <cellStyle name="20% - Accent1 2 6 4 4" xfId="23629"/>
    <cellStyle name="20% - Accent1 2 6 5" xfId="8261"/>
    <cellStyle name="20% - Accent1 2 6 6" xfId="14203"/>
    <cellStyle name="20% - Accent1 2 6 7" xfId="20444"/>
    <cellStyle name="20% - Accent1 2 7" xfId="202"/>
    <cellStyle name="20% - Accent1 2 7 2" xfId="2703"/>
    <cellStyle name="20% - Accent1 2 7 2 2" xfId="5842"/>
    <cellStyle name="20% - Accent1 2 7 2 2 2" xfId="12084"/>
    <cellStyle name="20% - Accent1 2 7 2 2 3" xfId="18239"/>
    <cellStyle name="20% - Accent1 2 7 2 2 4" xfId="24366"/>
    <cellStyle name="20% - Accent1 2 7 2 3" xfId="8996"/>
    <cellStyle name="20% - Accent1 2 7 2 4" xfId="15162"/>
    <cellStyle name="20% - Accent1 2 7 2 5" xfId="21290"/>
    <cellStyle name="20% - Accent1 2 7 3" xfId="2702"/>
    <cellStyle name="20% - Accent1 2 7 3 2" xfId="5841"/>
    <cellStyle name="20% - Accent1 2 7 3 2 2" xfId="12083"/>
    <cellStyle name="20% - Accent1 2 7 3 2 3" xfId="18238"/>
    <cellStyle name="20% - Accent1 2 7 3 2 4" xfId="24365"/>
    <cellStyle name="20% - Accent1 2 7 3 3" xfId="8995"/>
    <cellStyle name="20% - Accent1 2 7 3 4" xfId="15161"/>
    <cellStyle name="20% - Accent1 2 7 3 5" xfId="21289"/>
    <cellStyle name="20% - Accent1 2 7 4" xfId="4982"/>
    <cellStyle name="20% - Accent1 2 7 4 2" xfId="11225"/>
    <cellStyle name="20% - Accent1 2 7 4 3" xfId="17380"/>
    <cellStyle name="20% - Accent1 2 7 4 4" xfId="23507"/>
    <cellStyle name="20% - Accent1 2 7 5" xfId="8140"/>
    <cellStyle name="20% - Accent1 2 7 6" xfId="14204"/>
    <cellStyle name="20% - Accent1 2 7 7" xfId="21136"/>
    <cellStyle name="20% - Accent1 2 8" xfId="2704"/>
    <cellStyle name="20% - Accent1 2 8 2" xfId="5843"/>
    <cellStyle name="20% - Accent1 2 8 2 2" xfId="12085"/>
    <cellStyle name="20% - Accent1 2 8 2 3" xfId="18240"/>
    <cellStyle name="20% - Accent1 2 8 2 4" xfId="24367"/>
    <cellStyle name="20% - Accent1 2 8 3" xfId="8997"/>
    <cellStyle name="20% - Accent1 2 8 4" xfId="15163"/>
    <cellStyle name="20% - Accent1 2 8 5" xfId="21291"/>
    <cellStyle name="20% - Accent1 2 9" xfId="2705"/>
    <cellStyle name="20% - Accent1 2 9 2" xfId="5844"/>
    <cellStyle name="20% - Accent1 2 9 2 2" xfId="12086"/>
    <cellStyle name="20% - Accent1 2 9 2 3" xfId="18241"/>
    <cellStyle name="20% - Accent1 2 9 2 4" xfId="24368"/>
    <cellStyle name="20% - Accent1 2 9 3" xfId="8998"/>
    <cellStyle name="20% - Accent1 2 9 4" xfId="15164"/>
    <cellStyle name="20% - Accent1 2 9 5" xfId="21292"/>
    <cellStyle name="20% - Accent1 3" xfId="34"/>
    <cellStyle name="20% - Accent1 3 10" xfId="2706"/>
    <cellStyle name="20% - Accent1 3 10 2" xfId="5845"/>
    <cellStyle name="20% - Accent1 3 10 2 2" xfId="12087"/>
    <cellStyle name="20% - Accent1 3 10 2 3" xfId="18242"/>
    <cellStyle name="20% - Accent1 3 10 2 4" xfId="24369"/>
    <cellStyle name="20% - Accent1 3 10 3" xfId="8999"/>
    <cellStyle name="20% - Accent1 3 10 4" xfId="15165"/>
    <cellStyle name="20% - Accent1 3 10 5" xfId="21293"/>
    <cellStyle name="20% - Accent1 3 11" xfId="4892"/>
    <cellStyle name="20% - Accent1 3 11 2" xfId="11136"/>
    <cellStyle name="20% - Accent1 3 11 3" xfId="17291"/>
    <cellStyle name="20% - Accent1 3 11 4" xfId="23418"/>
    <cellStyle name="20% - Accent1 3 12" xfId="8050"/>
    <cellStyle name="20% - Accent1 3 13" xfId="14205"/>
    <cellStyle name="20% - Accent1 3 14" xfId="20330"/>
    <cellStyle name="20% - Accent1 3 2" xfId="35"/>
    <cellStyle name="20% - Accent1 3 2 10" xfId="4893"/>
    <cellStyle name="20% - Accent1 3 2 10 2" xfId="11137"/>
    <cellStyle name="20% - Accent1 3 2 10 3" xfId="17292"/>
    <cellStyle name="20% - Accent1 3 2 10 4" xfId="23419"/>
    <cellStyle name="20% - Accent1 3 2 11" xfId="8051"/>
    <cellStyle name="20% - Accent1 3 2 12" xfId="14206"/>
    <cellStyle name="20% - Accent1 3 2 13" xfId="20331"/>
    <cellStyle name="20% - Accent1 3 2 2" xfId="1985"/>
    <cellStyle name="20% - Accent1 3 2 2 10" xfId="20662"/>
    <cellStyle name="20% - Accent1 3 2 2 2" xfId="2371"/>
    <cellStyle name="20% - Accent1 3 2 2 2 2" xfId="2710"/>
    <cellStyle name="20% - Accent1 3 2 2 2 2 2" xfId="5849"/>
    <cellStyle name="20% - Accent1 3 2 2 2 2 2 2" xfId="12091"/>
    <cellStyle name="20% - Accent1 3 2 2 2 2 2 3" xfId="18246"/>
    <cellStyle name="20% - Accent1 3 2 2 2 2 2 4" xfId="24373"/>
    <cellStyle name="20% - Accent1 3 2 2 2 2 3" xfId="9003"/>
    <cellStyle name="20% - Accent1 3 2 2 2 2 4" xfId="15169"/>
    <cellStyle name="20% - Accent1 3 2 2 2 2 5" xfId="21297"/>
    <cellStyle name="20% - Accent1 3 2 2 2 3" xfId="2709"/>
    <cellStyle name="20% - Accent1 3 2 2 2 3 2" xfId="5848"/>
    <cellStyle name="20% - Accent1 3 2 2 2 3 2 2" xfId="12090"/>
    <cellStyle name="20% - Accent1 3 2 2 2 3 2 3" xfId="18245"/>
    <cellStyle name="20% - Accent1 3 2 2 2 3 2 4" xfId="24372"/>
    <cellStyle name="20% - Accent1 3 2 2 2 3 3" xfId="9002"/>
    <cellStyle name="20% - Accent1 3 2 2 2 3 4" xfId="15168"/>
    <cellStyle name="20% - Accent1 3 2 2 2 3 5" xfId="21296"/>
    <cellStyle name="20% - Accent1 3 2 2 2 4" xfId="5684"/>
    <cellStyle name="20% - Accent1 3 2 2 2 4 2" xfId="11926"/>
    <cellStyle name="20% - Accent1 3 2 2 2 4 3" xfId="18081"/>
    <cellStyle name="20% - Accent1 3 2 2 2 4 4" xfId="24208"/>
    <cellStyle name="20% - Accent1 3 2 2 2 5" xfId="8838"/>
    <cellStyle name="20% - Accent1 3 2 2 2 6" xfId="14208"/>
    <cellStyle name="20% - Accent1 3 2 2 2 7" xfId="21018"/>
    <cellStyle name="20% - Accent1 3 2 2 3" xfId="2196"/>
    <cellStyle name="20% - Accent1 3 2 2 3 2" xfId="2712"/>
    <cellStyle name="20% - Accent1 3 2 2 3 2 2" xfId="5851"/>
    <cellStyle name="20% - Accent1 3 2 2 3 2 2 2" xfId="12093"/>
    <cellStyle name="20% - Accent1 3 2 2 3 2 2 3" xfId="18248"/>
    <cellStyle name="20% - Accent1 3 2 2 3 2 2 4" xfId="24375"/>
    <cellStyle name="20% - Accent1 3 2 2 3 2 3" xfId="9005"/>
    <cellStyle name="20% - Accent1 3 2 2 3 2 4" xfId="15171"/>
    <cellStyle name="20% - Accent1 3 2 2 3 2 5" xfId="21299"/>
    <cellStyle name="20% - Accent1 3 2 2 3 3" xfId="2711"/>
    <cellStyle name="20% - Accent1 3 2 2 3 3 2" xfId="5850"/>
    <cellStyle name="20% - Accent1 3 2 2 3 3 2 2" xfId="12092"/>
    <cellStyle name="20% - Accent1 3 2 2 3 3 2 3" xfId="18247"/>
    <cellStyle name="20% - Accent1 3 2 2 3 3 2 4" xfId="24374"/>
    <cellStyle name="20% - Accent1 3 2 2 3 3 3" xfId="9004"/>
    <cellStyle name="20% - Accent1 3 2 2 3 3 4" xfId="15170"/>
    <cellStyle name="20% - Accent1 3 2 2 3 3 5" xfId="21298"/>
    <cellStyle name="20% - Accent1 3 2 2 3 4" xfId="5509"/>
    <cellStyle name="20% - Accent1 3 2 2 3 4 2" xfId="11751"/>
    <cellStyle name="20% - Accent1 3 2 2 3 4 3" xfId="17906"/>
    <cellStyle name="20% - Accent1 3 2 2 3 4 4" xfId="24033"/>
    <cellStyle name="20% - Accent1 3 2 2 3 5" xfId="8663"/>
    <cellStyle name="20% - Accent1 3 2 2 3 6" xfId="14209"/>
    <cellStyle name="20% - Accent1 3 2 2 3 7" xfId="20843"/>
    <cellStyle name="20% - Accent1 3 2 2 4" xfId="2713"/>
    <cellStyle name="20% - Accent1 3 2 2 4 2" xfId="5852"/>
    <cellStyle name="20% - Accent1 3 2 2 4 2 2" xfId="12094"/>
    <cellStyle name="20% - Accent1 3 2 2 4 2 3" xfId="18249"/>
    <cellStyle name="20% - Accent1 3 2 2 4 2 4" xfId="24376"/>
    <cellStyle name="20% - Accent1 3 2 2 4 3" xfId="9006"/>
    <cellStyle name="20% - Accent1 3 2 2 4 4" xfId="15172"/>
    <cellStyle name="20% - Accent1 3 2 2 4 5" xfId="21300"/>
    <cellStyle name="20% - Accent1 3 2 2 5" xfId="2714"/>
    <cellStyle name="20% - Accent1 3 2 2 5 2" xfId="5853"/>
    <cellStyle name="20% - Accent1 3 2 2 5 2 2" xfId="12095"/>
    <cellStyle name="20% - Accent1 3 2 2 5 2 3" xfId="18250"/>
    <cellStyle name="20% - Accent1 3 2 2 5 2 4" xfId="24377"/>
    <cellStyle name="20% - Accent1 3 2 2 5 3" xfId="9007"/>
    <cellStyle name="20% - Accent1 3 2 2 5 4" xfId="15173"/>
    <cellStyle name="20% - Accent1 3 2 2 5 5" xfId="21301"/>
    <cellStyle name="20% - Accent1 3 2 2 6" xfId="2708"/>
    <cellStyle name="20% - Accent1 3 2 2 6 2" xfId="5847"/>
    <cellStyle name="20% - Accent1 3 2 2 6 2 2" xfId="12089"/>
    <cellStyle name="20% - Accent1 3 2 2 6 2 3" xfId="18244"/>
    <cellStyle name="20% - Accent1 3 2 2 6 2 4" xfId="24371"/>
    <cellStyle name="20% - Accent1 3 2 2 6 3" xfId="9001"/>
    <cellStyle name="20% - Accent1 3 2 2 6 4" xfId="15167"/>
    <cellStyle name="20% - Accent1 3 2 2 6 5" xfId="21295"/>
    <cellStyle name="20% - Accent1 3 2 2 7" xfId="5327"/>
    <cellStyle name="20% - Accent1 3 2 2 7 2" xfId="11569"/>
    <cellStyle name="20% - Accent1 3 2 2 7 3" xfId="17724"/>
    <cellStyle name="20% - Accent1 3 2 2 7 4" xfId="23851"/>
    <cellStyle name="20% - Accent1 3 2 2 8" xfId="8482"/>
    <cellStyle name="20% - Accent1 3 2 2 9" xfId="14207"/>
    <cellStyle name="20% - Accent1 3 2 3" xfId="2288"/>
    <cellStyle name="20% - Accent1 3 2 3 2" xfId="2716"/>
    <cellStyle name="20% - Accent1 3 2 3 2 2" xfId="5855"/>
    <cellStyle name="20% - Accent1 3 2 3 2 2 2" xfId="12097"/>
    <cellStyle name="20% - Accent1 3 2 3 2 2 3" xfId="18252"/>
    <cellStyle name="20% - Accent1 3 2 3 2 2 4" xfId="24379"/>
    <cellStyle name="20% - Accent1 3 2 3 2 3" xfId="9009"/>
    <cellStyle name="20% - Accent1 3 2 3 2 4" xfId="15175"/>
    <cellStyle name="20% - Accent1 3 2 3 2 5" xfId="21303"/>
    <cellStyle name="20% - Accent1 3 2 3 3" xfId="2715"/>
    <cellStyle name="20% - Accent1 3 2 3 3 2" xfId="5854"/>
    <cellStyle name="20% - Accent1 3 2 3 3 2 2" xfId="12096"/>
    <cellStyle name="20% - Accent1 3 2 3 3 2 3" xfId="18251"/>
    <cellStyle name="20% - Accent1 3 2 3 3 2 4" xfId="24378"/>
    <cellStyle name="20% - Accent1 3 2 3 3 3" xfId="9008"/>
    <cellStyle name="20% - Accent1 3 2 3 3 4" xfId="15174"/>
    <cellStyle name="20% - Accent1 3 2 3 3 5" xfId="21302"/>
    <cellStyle name="20% - Accent1 3 2 3 4" xfId="5601"/>
    <cellStyle name="20% - Accent1 3 2 3 4 2" xfId="11843"/>
    <cellStyle name="20% - Accent1 3 2 3 4 3" xfId="17998"/>
    <cellStyle name="20% - Accent1 3 2 3 4 4" xfId="24125"/>
    <cellStyle name="20% - Accent1 3 2 3 5" xfId="8755"/>
    <cellStyle name="20% - Accent1 3 2 3 6" xfId="14210"/>
    <cellStyle name="20% - Accent1 3 2 3 7" xfId="20935"/>
    <cellStyle name="20% - Accent1 3 2 4" xfId="2121"/>
    <cellStyle name="20% - Accent1 3 2 4 2" xfId="2718"/>
    <cellStyle name="20% - Accent1 3 2 4 2 2" xfId="5857"/>
    <cellStyle name="20% - Accent1 3 2 4 2 2 2" xfId="12099"/>
    <cellStyle name="20% - Accent1 3 2 4 2 2 3" xfId="18254"/>
    <cellStyle name="20% - Accent1 3 2 4 2 2 4" xfId="24381"/>
    <cellStyle name="20% - Accent1 3 2 4 2 3" xfId="9011"/>
    <cellStyle name="20% - Accent1 3 2 4 2 4" xfId="15177"/>
    <cellStyle name="20% - Accent1 3 2 4 2 5" xfId="21305"/>
    <cellStyle name="20% - Accent1 3 2 4 3" xfId="2717"/>
    <cellStyle name="20% - Accent1 3 2 4 3 2" xfId="5856"/>
    <cellStyle name="20% - Accent1 3 2 4 3 2 2" xfId="12098"/>
    <cellStyle name="20% - Accent1 3 2 4 3 2 3" xfId="18253"/>
    <cellStyle name="20% - Accent1 3 2 4 3 2 4" xfId="24380"/>
    <cellStyle name="20% - Accent1 3 2 4 3 3" xfId="9010"/>
    <cellStyle name="20% - Accent1 3 2 4 3 4" xfId="15176"/>
    <cellStyle name="20% - Accent1 3 2 4 3 5" xfId="21304"/>
    <cellStyle name="20% - Accent1 3 2 4 4" xfId="5434"/>
    <cellStyle name="20% - Accent1 3 2 4 4 2" xfId="11676"/>
    <cellStyle name="20% - Accent1 3 2 4 4 3" xfId="17831"/>
    <cellStyle name="20% - Accent1 3 2 4 4 4" xfId="23958"/>
    <cellStyle name="20% - Accent1 3 2 4 5" xfId="8588"/>
    <cellStyle name="20% - Accent1 3 2 4 6" xfId="14211"/>
    <cellStyle name="20% - Accent1 3 2 4 7" xfId="20768"/>
    <cellStyle name="20% - Accent1 3 2 5" xfId="758"/>
    <cellStyle name="20% - Accent1 3 2 5 2" xfId="2720"/>
    <cellStyle name="20% - Accent1 3 2 5 2 2" xfId="5859"/>
    <cellStyle name="20% - Accent1 3 2 5 2 2 2" xfId="12101"/>
    <cellStyle name="20% - Accent1 3 2 5 2 2 3" xfId="18256"/>
    <cellStyle name="20% - Accent1 3 2 5 2 2 4" xfId="24383"/>
    <cellStyle name="20% - Accent1 3 2 5 2 3" xfId="9013"/>
    <cellStyle name="20% - Accent1 3 2 5 2 4" xfId="15179"/>
    <cellStyle name="20% - Accent1 3 2 5 2 5" xfId="21307"/>
    <cellStyle name="20% - Accent1 3 2 5 3" xfId="2719"/>
    <cellStyle name="20% - Accent1 3 2 5 3 2" xfId="5858"/>
    <cellStyle name="20% - Accent1 3 2 5 3 2 2" xfId="12100"/>
    <cellStyle name="20% - Accent1 3 2 5 3 2 3" xfId="18255"/>
    <cellStyle name="20% - Accent1 3 2 5 3 2 4" xfId="24382"/>
    <cellStyle name="20% - Accent1 3 2 5 3 3" xfId="9012"/>
    <cellStyle name="20% - Accent1 3 2 5 3 4" xfId="15178"/>
    <cellStyle name="20% - Accent1 3 2 5 3 5" xfId="21306"/>
    <cellStyle name="20% - Accent1 3 2 5 4" xfId="5107"/>
    <cellStyle name="20% - Accent1 3 2 5 4 2" xfId="11350"/>
    <cellStyle name="20% - Accent1 3 2 5 4 3" xfId="17505"/>
    <cellStyle name="20% - Accent1 3 2 5 4 4" xfId="23632"/>
    <cellStyle name="20% - Accent1 3 2 5 5" xfId="8264"/>
    <cellStyle name="20% - Accent1 3 2 5 6" xfId="14212"/>
    <cellStyle name="20% - Accent1 3 2 5 7" xfId="20447"/>
    <cellStyle name="20% - Accent1 3 2 6" xfId="205"/>
    <cellStyle name="20% - Accent1 3 2 6 2" xfId="2722"/>
    <cellStyle name="20% - Accent1 3 2 6 2 2" xfId="5861"/>
    <cellStyle name="20% - Accent1 3 2 6 2 2 2" xfId="12103"/>
    <cellStyle name="20% - Accent1 3 2 6 2 2 3" xfId="18258"/>
    <cellStyle name="20% - Accent1 3 2 6 2 2 4" xfId="24385"/>
    <cellStyle name="20% - Accent1 3 2 6 2 3" xfId="9015"/>
    <cellStyle name="20% - Accent1 3 2 6 2 4" xfId="15181"/>
    <cellStyle name="20% - Accent1 3 2 6 2 5" xfId="21309"/>
    <cellStyle name="20% - Accent1 3 2 6 3" xfId="2721"/>
    <cellStyle name="20% - Accent1 3 2 6 3 2" xfId="5860"/>
    <cellStyle name="20% - Accent1 3 2 6 3 2 2" xfId="12102"/>
    <cellStyle name="20% - Accent1 3 2 6 3 2 3" xfId="18257"/>
    <cellStyle name="20% - Accent1 3 2 6 3 2 4" xfId="24384"/>
    <cellStyle name="20% - Accent1 3 2 6 3 3" xfId="9014"/>
    <cellStyle name="20% - Accent1 3 2 6 3 4" xfId="15180"/>
    <cellStyle name="20% - Accent1 3 2 6 3 5" xfId="21308"/>
    <cellStyle name="20% - Accent1 3 2 6 4" xfId="4985"/>
    <cellStyle name="20% - Accent1 3 2 6 4 2" xfId="11228"/>
    <cellStyle name="20% - Accent1 3 2 6 4 3" xfId="17383"/>
    <cellStyle name="20% - Accent1 3 2 6 4 4" xfId="23510"/>
    <cellStyle name="20% - Accent1 3 2 6 5" xfId="8143"/>
    <cellStyle name="20% - Accent1 3 2 6 6" xfId="14213"/>
    <cellStyle name="20% - Accent1 3 2 6 7" xfId="21139"/>
    <cellStyle name="20% - Accent1 3 2 7" xfId="2723"/>
    <cellStyle name="20% - Accent1 3 2 7 2" xfId="5862"/>
    <cellStyle name="20% - Accent1 3 2 7 2 2" xfId="12104"/>
    <cellStyle name="20% - Accent1 3 2 7 2 3" xfId="18259"/>
    <cellStyle name="20% - Accent1 3 2 7 2 4" xfId="24386"/>
    <cellStyle name="20% - Accent1 3 2 7 3" xfId="9016"/>
    <cellStyle name="20% - Accent1 3 2 7 4" xfId="15182"/>
    <cellStyle name="20% - Accent1 3 2 7 5" xfId="21310"/>
    <cellStyle name="20% - Accent1 3 2 8" xfId="2724"/>
    <cellStyle name="20% - Accent1 3 2 8 2" xfId="5863"/>
    <cellStyle name="20% - Accent1 3 2 8 2 2" xfId="12105"/>
    <cellStyle name="20% - Accent1 3 2 8 2 3" xfId="18260"/>
    <cellStyle name="20% - Accent1 3 2 8 2 4" xfId="24387"/>
    <cellStyle name="20% - Accent1 3 2 8 3" xfId="9017"/>
    <cellStyle name="20% - Accent1 3 2 8 4" xfId="15183"/>
    <cellStyle name="20% - Accent1 3 2 8 5" xfId="21311"/>
    <cellStyle name="20% - Accent1 3 2 9" xfId="2707"/>
    <cellStyle name="20% - Accent1 3 2 9 2" xfId="5846"/>
    <cellStyle name="20% - Accent1 3 2 9 2 2" xfId="12088"/>
    <cellStyle name="20% - Accent1 3 2 9 2 3" xfId="18243"/>
    <cellStyle name="20% - Accent1 3 2 9 2 4" xfId="24370"/>
    <cellStyle name="20% - Accent1 3 2 9 3" xfId="9000"/>
    <cellStyle name="20% - Accent1 3 2 9 4" xfId="15166"/>
    <cellStyle name="20% - Accent1 3 2 9 5" xfId="21294"/>
    <cellStyle name="20% - Accent1 3 3" xfId="1984"/>
    <cellStyle name="20% - Accent1 3 3 10" xfId="20661"/>
    <cellStyle name="20% - Accent1 3 3 2" xfId="2370"/>
    <cellStyle name="20% - Accent1 3 3 2 2" xfId="2727"/>
    <cellStyle name="20% - Accent1 3 3 2 2 2" xfId="5866"/>
    <cellStyle name="20% - Accent1 3 3 2 2 2 2" xfId="12108"/>
    <cellStyle name="20% - Accent1 3 3 2 2 2 3" xfId="18263"/>
    <cellStyle name="20% - Accent1 3 3 2 2 2 4" xfId="24390"/>
    <cellStyle name="20% - Accent1 3 3 2 2 3" xfId="9020"/>
    <cellStyle name="20% - Accent1 3 3 2 2 4" xfId="15186"/>
    <cellStyle name="20% - Accent1 3 3 2 2 5" xfId="21314"/>
    <cellStyle name="20% - Accent1 3 3 2 3" xfId="2726"/>
    <cellStyle name="20% - Accent1 3 3 2 3 2" xfId="5865"/>
    <cellStyle name="20% - Accent1 3 3 2 3 2 2" xfId="12107"/>
    <cellStyle name="20% - Accent1 3 3 2 3 2 3" xfId="18262"/>
    <cellStyle name="20% - Accent1 3 3 2 3 2 4" xfId="24389"/>
    <cellStyle name="20% - Accent1 3 3 2 3 3" xfId="9019"/>
    <cellStyle name="20% - Accent1 3 3 2 3 4" xfId="15185"/>
    <cellStyle name="20% - Accent1 3 3 2 3 5" xfId="21313"/>
    <cellStyle name="20% - Accent1 3 3 2 4" xfId="5683"/>
    <cellStyle name="20% - Accent1 3 3 2 4 2" xfId="11925"/>
    <cellStyle name="20% - Accent1 3 3 2 4 3" xfId="18080"/>
    <cellStyle name="20% - Accent1 3 3 2 4 4" xfId="24207"/>
    <cellStyle name="20% - Accent1 3 3 2 5" xfId="8837"/>
    <cellStyle name="20% - Accent1 3 3 2 6" xfId="14215"/>
    <cellStyle name="20% - Accent1 3 3 2 7" xfId="21017"/>
    <cellStyle name="20% - Accent1 3 3 3" xfId="2195"/>
    <cellStyle name="20% - Accent1 3 3 3 2" xfId="2729"/>
    <cellStyle name="20% - Accent1 3 3 3 2 2" xfId="5868"/>
    <cellStyle name="20% - Accent1 3 3 3 2 2 2" xfId="12110"/>
    <cellStyle name="20% - Accent1 3 3 3 2 2 3" xfId="18265"/>
    <cellStyle name="20% - Accent1 3 3 3 2 2 4" xfId="24392"/>
    <cellStyle name="20% - Accent1 3 3 3 2 3" xfId="9022"/>
    <cellStyle name="20% - Accent1 3 3 3 2 4" xfId="15188"/>
    <cellStyle name="20% - Accent1 3 3 3 2 5" xfId="21316"/>
    <cellStyle name="20% - Accent1 3 3 3 3" xfId="2728"/>
    <cellStyle name="20% - Accent1 3 3 3 3 2" xfId="5867"/>
    <cellStyle name="20% - Accent1 3 3 3 3 2 2" xfId="12109"/>
    <cellStyle name="20% - Accent1 3 3 3 3 2 3" xfId="18264"/>
    <cellStyle name="20% - Accent1 3 3 3 3 2 4" xfId="24391"/>
    <cellStyle name="20% - Accent1 3 3 3 3 3" xfId="9021"/>
    <cellStyle name="20% - Accent1 3 3 3 3 4" xfId="15187"/>
    <cellStyle name="20% - Accent1 3 3 3 3 5" xfId="21315"/>
    <cellStyle name="20% - Accent1 3 3 3 4" xfId="5508"/>
    <cellStyle name="20% - Accent1 3 3 3 4 2" xfId="11750"/>
    <cellStyle name="20% - Accent1 3 3 3 4 3" xfId="17905"/>
    <cellStyle name="20% - Accent1 3 3 3 4 4" xfId="24032"/>
    <cellStyle name="20% - Accent1 3 3 3 5" xfId="8662"/>
    <cellStyle name="20% - Accent1 3 3 3 6" xfId="14216"/>
    <cellStyle name="20% - Accent1 3 3 3 7" xfId="20842"/>
    <cellStyle name="20% - Accent1 3 3 4" xfId="2730"/>
    <cellStyle name="20% - Accent1 3 3 4 2" xfId="5869"/>
    <cellStyle name="20% - Accent1 3 3 4 2 2" xfId="12111"/>
    <cellStyle name="20% - Accent1 3 3 4 2 3" xfId="18266"/>
    <cellStyle name="20% - Accent1 3 3 4 2 4" xfId="24393"/>
    <cellStyle name="20% - Accent1 3 3 4 3" xfId="9023"/>
    <cellStyle name="20% - Accent1 3 3 4 4" xfId="15189"/>
    <cellStyle name="20% - Accent1 3 3 4 5" xfId="21317"/>
    <cellStyle name="20% - Accent1 3 3 5" xfId="2731"/>
    <cellStyle name="20% - Accent1 3 3 5 2" xfId="5870"/>
    <cellStyle name="20% - Accent1 3 3 5 2 2" xfId="12112"/>
    <cellStyle name="20% - Accent1 3 3 5 2 3" xfId="18267"/>
    <cellStyle name="20% - Accent1 3 3 5 2 4" xfId="24394"/>
    <cellStyle name="20% - Accent1 3 3 5 3" xfId="9024"/>
    <cellStyle name="20% - Accent1 3 3 5 4" xfId="15190"/>
    <cellStyle name="20% - Accent1 3 3 5 5" xfId="21318"/>
    <cellStyle name="20% - Accent1 3 3 6" xfId="2725"/>
    <cellStyle name="20% - Accent1 3 3 6 2" xfId="5864"/>
    <cellStyle name="20% - Accent1 3 3 6 2 2" xfId="12106"/>
    <cellStyle name="20% - Accent1 3 3 6 2 3" xfId="18261"/>
    <cellStyle name="20% - Accent1 3 3 6 2 4" xfId="24388"/>
    <cellStyle name="20% - Accent1 3 3 6 3" xfId="9018"/>
    <cellStyle name="20% - Accent1 3 3 6 4" xfId="15184"/>
    <cellStyle name="20% - Accent1 3 3 6 5" xfId="21312"/>
    <cellStyle name="20% - Accent1 3 3 7" xfId="5326"/>
    <cellStyle name="20% - Accent1 3 3 7 2" xfId="11568"/>
    <cellStyle name="20% - Accent1 3 3 7 3" xfId="17723"/>
    <cellStyle name="20% - Accent1 3 3 7 4" xfId="23850"/>
    <cellStyle name="20% - Accent1 3 3 8" xfId="8481"/>
    <cellStyle name="20% - Accent1 3 3 9" xfId="14214"/>
    <cellStyle name="20% - Accent1 3 4" xfId="2287"/>
    <cellStyle name="20% - Accent1 3 4 2" xfId="2733"/>
    <cellStyle name="20% - Accent1 3 4 2 2" xfId="5872"/>
    <cellStyle name="20% - Accent1 3 4 2 2 2" xfId="12114"/>
    <cellStyle name="20% - Accent1 3 4 2 2 3" xfId="18269"/>
    <cellStyle name="20% - Accent1 3 4 2 2 4" xfId="24396"/>
    <cellStyle name="20% - Accent1 3 4 2 3" xfId="9026"/>
    <cellStyle name="20% - Accent1 3 4 2 4" xfId="15192"/>
    <cellStyle name="20% - Accent1 3 4 2 5" xfId="21320"/>
    <cellStyle name="20% - Accent1 3 4 3" xfId="2732"/>
    <cellStyle name="20% - Accent1 3 4 3 2" xfId="5871"/>
    <cellStyle name="20% - Accent1 3 4 3 2 2" xfId="12113"/>
    <cellStyle name="20% - Accent1 3 4 3 2 3" xfId="18268"/>
    <cellStyle name="20% - Accent1 3 4 3 2 4" xfId="24395"/>
    <cellStyle name="20% - Accent1 3 4 3 3" xfId="9025"/>
    <cellStyle name="20% - Accent1 3 4 3 4" xfId="15191"/>
    <cellStyle name="20% - Accent1 3 4 3 5" xfId="21319"/>
    <cellStyle name="20% - Accent1 3 4 4" xfId="5600"/>
    <cellStyle name="20% - Accent1 3 4 4 2" xfId="11842"/>
    <cellStyle name="20% - Accent1 3 4 4 3" xfId="17997"/>
    <cellStyle name="20% - Accent1 3 4 4 4" xfId="24124"/>
    <cellStyle name="20% - Accent1 3 4 5" xfId="8754"/>
    <cellStyle name="20% - Accent1 3 4 6" xfId="14217"/>
    <cellStyle name="20% - Accent1 3 4 7" xfId="20934"/>
    <cellStyle name="20% - Accent1 3 5" xfId="2120"/>
    <cellStyle name="20% - Accent1 3 5 2" xfId="2735"/>
    <cellStyle name="20% - Accent1 3 5 2 2" xfId="5874"/>
    <cellStyle name="20% - Accent1 3 5 2 2 2" xfId="12116"/>
    <cellStyle name="20% - Accent1 3 5 2 2 3" xfId="18271"/>
    <cellStyle name="20% - Accent1 3 5 2 2 4" xfId="24398"/>
    <cellStyle name="20% - Accent1 3 5 2 3" xfId="9028"/>
    <cellStyle name="20% - Accent1 3 5 2 4" xfId="15194"/>
    <cellStyle name="20% - Accent1 3 5 2 5" xfId="21322"/>
    <cellStyle name="20% - Accent1 3 5 3" xfId="2734"/>
    <cellStyle name="20% - Accent1 3 5 3 2" xfId="5873"/>
    <cellStyle name="20% - Accent1 3 5 3 2 2" xfId="12115"/>
    <cellStyle name="20% - Accent1 3 5 3 2 3" xfId="18270"/>
    <cellStyle name="20% - Accent1 3 5 3 2 4" xfId="24397"/>
    <cellStyle name="20% - Accent1 3 5 3 3" xfId="9027"/>
    <cellStyle name="20% - Accent1 3 5 3 4" xfId="15193"/>
    <cellStyle name="20% - Accent1 3 5 3 5" xfId="21321"/>
    <cellStyle name="20% - Accent1 3 5 4" xfId="5433"/>
    <cellStyle name="20% - Accent1 3 5 4 2" xfId="11675"/>
    <cellStyle name="20% - Accent1 3 5 4 3" xfId="17830"/>
    <cellStyle name="20% - Accent1 3 5 4 4" xfId="23957"/>
    <cellStyle name="20% - Accent1 3 5 5" xfId="8587"/>
    <cellStyle name="20% - Accent1 3 5 6" xfId="14218"/>
    <cellStyle name="20% - Accent1 3 5 7" xfId="20767"/>
    <cellStyle name="20% - Accent1 3 6" xfId="757"/>
    <cellStyle name="20% - Accent1 3 6 2" xfId="2737"/>
    <cellStyle name="20% - Accent1 3 6 2 2" xfId="5876"/>
    <cellStyle name="20% - Accent1 3 6 2 2 2" xfId="12118"/>
    <cellStyle name="20% - Accent1 3 6 2 2 3" xfId="18273"/>
    <cellStyle name="20% - Accent1 3 6 2 2 4" xfId="24400"/>
    <cellStyle name="20% - Accent1 3 6 2 3" xfId="9030"/>
    <cellStyle name="20% - Accent1 3 6 2 4" xfId="15196"/>
    <cellStyle name="20% - Accent1 3 6 2 5" xfId="21324"/>
    <cellStyle name="20% - Accent1 3 6 3" xfId="2736"/>
    <cellStyle name="20% - Accent1 3 6 3 2" xfId="5875"/>
    <cellStyle name="20% - Accent1 3 6 3 2 2" xfId="12117"/>
    <cellStyle name="20% - Accent1 3 6 3 2 3" xfId="18272"/>
    <cellStyle name="20% - Accent1 3 6 3 2 4" xfId="24399"/>
    <cellStyle name="20% - Accent1 3 6 3 3" xfId="9029"/>
    <cellStyle name="20% - Accent1 3 6 3 4" xfId="15195"/>
    <cellStyle name="20% - Accent1 3 6 3 5" xfId="21323"/>
    <cellStyle name="20% - Accent1 3 6 4" xfId="5106"/>
    <cellStyle name="20% - Accent1 3 6 4 2" xfId="11349"/>
    <cellStyle name="20% - Accent1 3 6 4 3" xfId="17504"/>
    <cellStyle name="20% - Accent1 3 6 4 4" xfId="23631"/>
    <cellStyle name="20% - Accent1 3 6 5" xfId="8263"/>
    <cellStyle name="20% - Accent1 3 6 6" xfId="14219"/>
    <cellStyle name="20% - Accent1 3 6 7" xfId="20446"/>
    <cellStyle name="20% - Accent1 3 7" xfId="204"/>
    <cellStyle name="20% - Accent1 3 7 2" xfId="2739"/>
    <cellStyle name="20% - Accent1 3 7 2 2" xfId="5878"/>
    <cellStyle name="20% - Accent1 3 7 2 2 2" xfId="12120"/>
    <cellStyle name="20% - Accent1 3 7 2 2 3" xfId="18275"/>
    <cellStyle name="20% - Accent1 3 7 2 2 4" xfId="24402"/>
    <cellStyle name="20% - Accent1 3 7 2 3" xfId="9032"/>
    <cellStyle name="20% - Accent1 3 7 2 4" xfId="15198"/>
    <cellStyle name="20% - Accent1 3 7 2 5" xfId="21326"/>
    <cellStyle name="20% - Accent1 3 7 3" xfId="2738"/>
    <cellStyle name="20% - Accent1 3 7 3 2" xfId="5877"/>
    <cellStyle name="20% - Accent1 3 7 3 2 2" xfId="12119"/>
    <cellStyle name="20% - Accent1 3 7 3 2 3" xfId="18274"/>
    <cellStyle name="20% - Accent1 3 7 3 2 4" xfId="24401"/>
    <cellStyle name="20% - Accent1 3 7 3 3" xfId="9031"/>
    <cellStyle name="20% - Accent1 3 7 3 4" xfId="15197"/>
    <cellStyle name="20% - Accent1 3 7 3 5" xfId="21325"/>
    <cellStyle name="20% - Accent1 3 7 4" xfId="4984"/>
    <cellStyle name="20% - Accent1 3 7 4 2" xfId="11227"/>
    <cellStyle name="20% - Accent1 3 7 4 3" xfId="17382"/>
    <cellStyle name="20% - Accent1 3 7 4 4" xfId="23509"/>
    <cellStyle name="20% - Accent1 3 7 5" xfId="8142"/>
    <cellStyle name="20% - Accent1 3 7 6" xfId="14220"/>
    <cellStyle name="20% - Accent1 3 7 7" xfId="21138"/>
    <cellStyle name="20% - Accent1 3 8" xfId="2740"/>
    <cellStyle name="20% - Accent1 3 8 2" xfId="5879"/>
    <cellStyle name="20% - Accent1 3 8 2 2" xfId="12121"/>
    <cellStyle name="20% - Accent1 3 8 2 3" xfId="18276"/>
    <cellStyle name="20% - Accent1 3 8 2 4" xfId="24403"/>
    <cellStyle name="20% - Accent1 3 8 3" xfId="9033"/>
    <cellStyle name="20% - Accent1 3 8 4" xfId="15199"/>
    <cellStyle name="20% - Accent1 3 8 5" xfId="21327"/>
    <cellStyle name="20% - Accent1 3 9" xfId="2741"/>
    <cellStyle name="20% - Accent1 3 9 2" xfId="5880"/>
    <cellStyle name="20% - Accent1 3 9 2 2" xfId="12122"/>
    <cellStyle name="20% - Accent1 3 9 2 3" xfId="18277"/>
    <cellStyle name="20% - Accent1 3 9 2 4" xfId="24404"/>
    <cellStyle name="20% - Accent1 3 9 3" xfId="9034"/>
    <cellStyle name="20% - Accent1 3 9 4" xfId="15200"/>
    <cellStyle name="20% - Accent1 3 9 5" xfId="21328"/>
    <cellStyle name="20% - Accent1 4" xfId="36"/>
    <cellStyle name="20% - Accent1 4 2" xfId="37"/>
    <cellStyle name="20% - Accent1 4 2 10" xfId="4894"/>
    <cellStyle name="20% - Accent1 4 2 10 2" xfId="11138"/>
    <cellStyle name="20% - Accent1 4 2 10 3" xfId="17293"/>
    <cellStyle name="20% - Accent1 4 2 10 4" xfId="23420"/>
    <cellStyle name="20% - Accent1 4 2 11" xfId="8052"/>
    <cellStyle name="20% - Accent1 4 2 12" xfId="14221"/>
    <cellStyle name="20% - Accent1 4 2 13" xfId="20332"/>
    <cellStyle name="20% - Accent1 4 2 2" xfId="1986"/>
    <cellStyle name="20% - Accent1 4 2 2 10" xfId="20663"/>
    <cellStyle name="20% - Accent1 4 2 2 2" xfId="2372"/>
    <cellStyle name="20% - Accent1 4 2 2 2 2" xfId="2745"/>
    <cellStyle name="20% - Accent1 4 2 2 2 2 2" xfId="5884"/>
    <cellStyle name="20% - Accent1 4 2 2 2 2 2 2" xfId="12126"/>
    <cellStyle name="20% - Accent1 4 2 2 2 2 2 3" xfId="18281"/>
    <cellStyle name="20% - Accent1 4 2 2 2 2 2 4" xfId="24408"/>
    <cellStyle name="20% - Accent1 4 2 2 2 2 3" xfId="9038"/>
    <cellStyle name="20% - Accent1 4 2 2 2 2 4" xfId="15204"/>
    <cellStyle name="20% - Accent1 4 2 2 2 2 5" xfId="21332"/>
    <cellStyle name="20% - Accent1 4 2 2 2 3" xfId="2744"/>
    <cellStyle name="20% - Accent1 4 2 2 2 3 2" xfId="5883"/>
    <cellStyle name="20% - Accent1 4 2 2 2 3 2 2" xfId="12125"/>
    <cellStyle name="20% - Accent1 4 2 2 2 3 2 3" xfId="18280"/>
    <cellStyle name="20% - Accent1 4 2 2 2 3 2 4" xfId="24407"/>
    <cellStyle name="20% - Accent1 4 2 2 2 3 3" xfId="9037"/>
    <cellStyle name="20% - Accent1 4 2 2 2 3 4" xfId="15203"/>
    <cellStyle name="20% - Accent1 4 2 2 2 3 5" xfId="21331"/>
    <cellStyle name="20% - Accent1 4 2 2 2 4" xfId="5685"/>
    <cellStyle name="20% - Accent1 4 2 2 2 4 2" xfId="11927"/>
    <cellStyle name="20% - Accent1 4 2 2 2 4 3" xfId="18082"/>
    <cellStyle name="20% - Accent1 4 2 2 2 4 4" xfId="24209"/>
    <cellStyle name="20% - Accent1 4 2 2 2 5" xfId="8839"/>
    <cellStyle name="20% - Accent1 4 2 2 2 6" xfId="14223"/>
    <cellStyle name="20% - Accent1 4 2 2 2 7" xfId="21019"/>
    <cellStyle name="20% - Accent1 4 2 2 3" xfId="2197"/>
    <cellStyle name="20% - Accent1 4 2 2 3 2" xfId="2747"/>
    <cellStyle name="20% - Accent1 4 2 2 3 2 2" xfId="5886"/>
    <cellStyle name="20% - Accent1 4 2 2 3 2 2 2" xfId="12128"/>
    <cellStyle name="20% - Accent1 4 2 2 3 2 2 3" xfId="18283"/>
    <cellStyle name="20% - Accent1 4 2 2 3 2 2 4" xfId="24410"/>
    <cellStyle name="20% - Accent1 4 2 2 3 2 3" xfId="9040"/>
    <cellStyle name="20% - Accent1 4 2 2 3 2 4" xfId="15206"/>
    <cellStyle name="20% - Accent1 4 2 2 3 2 5" xfId="21334"/>
    <cellStyle name="20% - Accent1 4 2 2 3 3" xfId="2746"/>
    <cellStyle name="20% - Accent1 4 2 2 3 3 2" xfId="5885"/>
    <cellStyle name="20% - Accent1 4 2 2 3 3 2 2" xfId="12127"/>
    <cellStyle name="20% - Accent1 4 2 2 3 3 2 3" xfId="18282"/>
    <cellStyle name="20% - Accent1 4 2 2 3 3 2 4" xfId="24409"/>
    <cellStyle name="20% - Accent1 4 2 2 3 3 3" xfId="9039"/>
    <cellStyle name="20% - Accent1 4 2 2 3 3 4" xfId="15205"/>
    <cellStyle name="20% - Accent1 4 2 2 3 3 5" xfId="21333"/>
    <cellStyle name="20% - Accent1 4 2 2 3 4" xfId="5510"/>
    <cellStyle name="20% - Accent1 4 2 2 3 4 2" xfId="11752"/>
    <cellStyle name="20% - Accent1 4 2 2 3 4 3" xfId="17907"/>
    <cellStyle name="20% - Accent1 4 2 2 3 4 4" xfId="24034"/>
    <cellStyle name="20% - Accent1 4 2 2 3 5" xfId="8664"/>
    <cellStyle name="20% - Accent1 4 2 2 3 6" xfId="14224"/>
    <cellStyle name="20% - Accent1 4 2 2 3 7" xfId="20844"/>
    <cellStyle name="20% - Accent1 4 2 2 4" xfId="2748"/>
    <cellStyle name="20% - Accent1 4 2 2 4 2" xfId="5887"/>
    <cellStyle name="20% - Accent1 4 2 2 4 2 2" xfId="12129"/>
    <cellStyle name="20% - Accent1 4 2 2 4 2 3" xfId="18284"/>
    <cellStyle name="20% - Accent1 4 2 2 4 2 4" xfId="24411"/>
    <cellStyle name="20% - Accent1 4 2 2 4 3" xfId="9041"/>
    <cellStyle name="20% - Accent1 4 2 2 4 4" xfId="15207"/>
    <cellStyle name="20% - Accent1 4 2 2 4 5" xfId="21335"/>
    <cellStyle name="20% - Accent1 4 2 2 5" xfId="2749"/>
    <cellStyle name="20% - Accent1 4 2 2 5 2" xfId="5888"/>
    <cellStyle name="20% - Accent1 4 2 2 5 2 2" xfId="12130"/>
    <cellStyle name="20% - Accent1 4 2 2 5 2 3" xfId="18285"/>
    <cellStyle name="20% - Accent1 4 2 2 5 2 4" xfId="24412"/>
    <cellStyle name="20% - Accent1 4 2 2 5 3" xfId="9042"/>
    <cellStyle name="20% - Accent1 4 2 2 5 4" xfId="15208"/>
    <cellStyle name="20% - Accent1 4 2 2 5 5" xfId="21336"/>
    <cellStyle name="20% - Accent1 4 2 2 6" xfId="2743"/>
    <cellStyle name="20% - Accent1 4 2 2 6 2" xfId="5882"/>
    <cellStyle name="20% - Accent1 4 2 2 6 2 2" xfId="12124"/>
    <cellStyle name="20% - Accent1 4 2 2 6 2 3" xfId="18279"/>
    <cellStyle name="20% - Accent1 4 2 2 6 2 4" xfId="24406"/>
    <cellStyle name="20% - Accent1 4 2 2 6 3" xfId="9036"/>
    <cellStyle name="20% - Accent1 4 2 2 6 4" xfId="15202"/>
    <cellStyle name="20% - Accent1 4 2 2 6 5" xfId="21330"/>
    <cellStyle name="20% - Accent1 4 2 2 7" xfId="5328"/>
    <cellStyle name="20% - Accent1 4 2 2 7 2" xfId="11570"/>
    <cellStyle name="20% - Accent1 4 2 2 7 3" xfId="17725"/>
    <cellStyle name="20% - Accent1 4 2 2 7 4" xfId="23852"/>
    <cellStyle name="20% - Accent1 4 2 2 8" xfId="8483"/>
    <cellStyle name="20% - Accent1 4 2 2 9" xfId="14222"/>
    <cellStyle name="20% - Accent1 4 2 3" xfId="2289"/>
    <cellStyle name="20% - Accent1 4 2 3 2" xfId="2751"/>
    <cellStyle name="20% - Accent1 4 2 3 2 2" xfId="5890"/>
    <cellStyle name="20% - Accent1 4 2 3 2 2 2" xfId="12132"/>
    <cellStyle name="20% - Accent1 4 2 3 2 2 3" xfId="18287"/>
    <cellStyle name="20% - Accent1 4 2 3 2 2 4" xfId="24414"/>
    <cellStyle name="20% - Accent1 4 2 3 2 3" xfId="9044"/>
    <cellStyle name="20% - Accent1 4 2 3 2 4" xfId="15210"/>
    <cellStyle name="20% - Accent1 4 2 3 2 5" xfId="21338"/>
    <cellStyle name="20% - Accent1 4 2 3 3" xfId="2750"/>
    <cellStyle name="20% - Accent1 4 2 3 3 2" xfId="5889"/>
    <cellStyle name="20% - Accent1 4 2 3 3 2 2" xfId="12131"/>
    <cellStyle name="20% - Accent1 4 2 3 3 2 3" xfId="18286"/>
    <cellStyle name="20% - Accent1 4 2 3 3 2 4" xfId="24413"/>
    <cellStyle name="20% - Accent1 4 2 3 3 3" xfId="9043"/>
    <cellStyle name="20% - Accent1 4 2 3 3 4" xfId="15209"/>
    <cellStyle name="20% - Accent1 4 2 3 3 5" xfId="21337"/>
    <cellStyle name="20% - Accent1 4 2 3 4" xfId="5602"/>
    <cellStyle name="20% - Accent1 4 2 3 4 2" xfId="11844"/>
    <cellStyle name="20% - Accent1 4 2 3 4 3" xfId="17999"/>
    <cellStyle name="20% - Accent1 4 2 3 4 4" xfId="24126"/>
    <cellStyle name="20% - Accent1 4 2 3 5" xfId="8756"/>
    <cellStyle name="20% - Accent1 4 2 3 6" xfId="14225"/>
    <cellStyle name="20% - Accent1 4 2 3 7" xfId="20936"/>
    <cellStyle name="20% - Accent1 4 2 4" xfId="2122"/>
    <cellStyle name="20% - Accent1 4 2 4 2" xfId="2753"/>
    <cellStyle name="20% - Accent1 4 2 4 2 2" xfId="5892"/>
    <cellStyle name="20% - Accent1 4 2 4 2 2 2" xfId="12134"/>
    <cellStyle name="20% - Accent1 4 2 4 2 2 3" xfId="18289"/>
    <cellStyle name="20% - Accent1 4 2 4 2 2 4" xfId="24416"/>
    <cellStyle name="20% - Accent1 4 2 4 2 3" xfId="9046"/>
    <cellStyle name="20% - Accent1 4 2 4 2 4" xfId="15212"/>
    <cellStyle name="20% - Accent1 4 2 4 2 5" xfId="21340"/>
    <cellStyle name="20% - Accent1 4 2 4 3" xfId="2752"/>
    <cellStyle name="20% - Accent1 4 2 4 3 2" xfId="5891"/>
    <cellStyle name="20% - Accent1 4 2 4 3 2 2" xfId="12133"/>
    <cellStyle name="20% - Accent1 4 2 4 3 2 3" xfId="18288"/>
    <cellStyle name="20% - Accent1 4 2 4 3 2 4" xfId="24415"/>
    <cellStyle name="20% - Accent1 4 2 4 3 3" xfId="9045"/>
    <cellStyle name="20% - Accent1 4 2 4 3 4" xfId="15211"/>
    <cellStyle name="20% - Accent1 4 2 4 3 5" xfId="21339"/>
    <cellStyle name="20% - Accent1 4 2 4 4" xfId="5435"/>
    <cellStyle name="20% - Accent1 4 2 4 4 2" xfId="11677"/>
    <cellStyle name="20% - Accent1 4 2 4 4 3" xfId="17832"/>
    <cellStyle name="20% - Accent1 4 2 4 4 4" xfId="23959"/>
    <cellStyle name="20% - Accent1 4 2 4 5" xfId="8589"/>
    <cellStyle name="20% - Accent1 4 2 4 6" xfId="14226"/>
    <cellStyle name="20% - Accent1 4 2 4 7" xfId="20769"/>
    <cellStyle name="20% - Accent1 4 2 5" xfId="759"/>
    <cellStyle name="20% - Accent1 4 2 5 2" xfId="2755"/>
    <cellStyle name="20% - Accent1 4 2 5 2 2" xfId="5894"/>
    <cellStyle name="20% - Accent1 4 2 5 2 2 2" xfId="12136"/>
    <cellStyle name="20% - Accent1 4 2 5 2 2 3" xfId="18291"/>
    <cellStyle name="20% - Accent1 4 2 5 2 2 4" xfId="24418"/>
    <cellStyle name="20% - Accent1 4 2 5 2 3" xfId="9048"/>
    <cellStyle name="20% - Accent1 4 2 5 2 4" xfId="15214"/>
    <cellStyle name="20% - Accent1 4 2 5 2 5" xfId="21342"/>
    <cellStyle name="20% - Accent1 4 2 5 3" xfId="2754"/>
    <cellStyle name="20% - Accent1 4 2 5 3 2" xfId="5893"/>
    <cellStyle name="20% - Accent1 4 2 5 3 2 2" xfId="12135"/>
    <cellStyle name="20% - Accent1 4 2 5 3 2 3" xfId="18290"/>
    <cellStyle name="20% - Accent1 4 2 5 3 2 4" xfId="24417"/>
    <cellStyle name="20% - Accent1 4 2 5 3 3" xfId="9047"/>
    <cellStyle name="20% - Accent1 4 2 5 3 4" xfId="15213"/>
    <cellStyle name="20% - Accent1 4 2 5 3 5" xfId="21341"/>
    <cellStyle name="20% - Accent1 4 2 5 4" xfId="5108"/>
    <cellStyle name="20% - Accent1 4 2 5 4 2" xfId="11351"/>
    <cellStyle name="20% - Accent1 4 2 5 4 3" xfId="17506"/>
    <cellStyle name="20% - Accent1 4 2 5 4 4" xfId="23633"/>
    <cellStyle name="20% - Accent1 4 2 5 5" xfId="8265"/>
    <cellStyle name="20% - Accent1 4 2 5 6" xfId="14227"/>
    <cellStyle name="20% - Accent1 4 2 5 7" xfId="20448"/>
    <cellStyle name="20% - Accent1 4 2 6" xfId="206"/>
    <cellStyle name="20% - Accent1 4 2 6 2" xfId="2757"/>
    <cellStyle name="20% - Accent1 4 2 6 2 2" xfId="5896"/>
    <cellStyle name="20% - Accent1 4 2 6 2 2 2" xfId="12138"/>
    <cellStyle name="20% - Accent1 4 2 6 2 2 3" xfId="18293"/>
    <cellStyle name="20% - Accent1 4 2 6 2 2 4" xfId="24420"/>
    <cellStyle name="20% - Accent1 4 2 6 2 3" xfId="9050"/>
    <cellStyle name="20% - Accent1 4 2 6 2 4" xfId="15216"/>
    <cellStyle name="20% - Accent1 4 2 6 2 5" xfId="21344"/>
    <cellStyle name="20% - Accent1 4 2 6 3" xfId="2756"/>
    <cellStyle name="20% - Accent1 4 2 6 3 2" xfId="5895"/>
    <cellStyle name="20% - Accent1 4 2 6 3 2 2" xfId="12137"/>
    <cellStyle name="20% - Accent1 4 2 6 3 2 3" xfId="18292"/>
    <cellStyle name="20% - Accent1 4 2 6 3 2 4" xfId="24419"/>
    <cellStyle name="20% - Accent1 4 2 6 3 3" xfId="9049"/>
    <cellStyle name="20% - Accent1 4 2 6 3 4" xfId="15215"/>
    <cellStyle name="20% - Accent1 4 2 6 3 5" xfId="21343"/>
    <cellStyle name="20% - Accent1 4 2 6 4" xfId="4986"/>
    <cellStyle name="20% - Accent1 4 2 6 4 2" xfId="11229"/>
    <cellStyle name="20% - Accent1 4 2 6 4 3" xfId="17384"/>
    <cellStyle name="20% - Accent1 4 2 6 4 4" xfId="23511"/>
    <cellStyle name="20% - Accent1 4 2 6 5" xfId="8144"/>
    <cellStyle name="20% - Accent1 4 2 6 6" xfId="14228"/>
    <cellStyle name="20% - Accent1 4 2 6 7" xfId="21140"/>
    <cellStyle name="20% - Accent1 4 2 7" xfId="2758"/>
    <cellStyle name="20% - Accent1 4 2 7 2" xfId="5897"/>
    <cellStyle name="20% - Accent1 4 2 7 2 2" xfId="12139"/>
    <cellStyle name="20% - Accent1 4 2 7 2 3" xfId="18294"/>
    <cellStyle name="20% - Accent1 4 2 7 2 4" xfId="24421"/>
    <cellStyle name="20% - Accent1 4 2 7 3" xfId="9051"/>
    <cellStyle name="20% - Accent1 4 2 7 4" xfId="15217"/>
    <cellStyle name="20% - Accent1 4 2 7 5" xfId="21345"/>
    <cellStyle name="20% - Accent1 4 2 8" xfId="2759"/>
    <cellStyle name="20% - Accent1 4 2 8 2" xfId="5898"/>
    <cellStyle name="20% - Accent1 4 2 8 2 2" xfId="12140"/>
    <cellStyle name="20% - Accent1 4 2 8 2 3" xfId="18295"/>
    <cellStyle name="20% - Accent1 4 2 8 2 4" xfId="24422"/>
    <cellStyle name="20% - Accent1 4 2 8 3" xfId="9052"/>
    <cellStyle name="20% - Accent1 4 2 8 4" xfId="15218"/>
    <cellStyle name="20% - Accent1 4 2 8 5" xfId="21346"/>
    <cellStyle name="20% - Accent1 4 2 9" xfId="2742"/>
    <cellStyle name="20% - Accent1 4 2 9 2" xfId="5881"/>
    <cellStyle name="20% - Accent1 4 2 9 2 2" xfId="12123"/>
    <cellStyle name="20% - Accent1 4 2 9 2 3" xfId="18278"/>
    <cellStyle name="20% - Accent1 4 2 9 2 4" xfId="24405"/>
    <cellStyle name="20% - Accent1 4 2 9 3" xfId="9035"/>
    <cellStyle name="20% - Accent1 4 2 9 4" xfId="15201"/>
    <cellStyle name="20% - Accent1 4 2 9 5" xfId="21329"/>
    <cellStyle name="20% - Accent1 5" xfId="467"/>
    <cellStyle name="20% - Accent1 5 2" xfId="2761"/>
    <cellStyle name="20% - Accent1 5 2 2" xfId="5900"/>
    <cellStyle name="20% - Accent1 5 2 2 2" xfId="12142"/>
    <cellStyle name="20% - Accent1 5 2 2 3" xfId="18297"/>
    <cellStyle name="20% - Accent1 5 2 2 4" xfId="24424"/>
    <cellStyle name="20% - Accent1 5 2 3" xfId="9054"/>
    <cellStyle name="20% - Accent1 5 2 4" xfId="15220"/>
    <cellStyle name="20% - Accent1 5 2 5" xfId="21348"/>
    <cellStyle name="20% - Accent1 5 3" xfId="2762"/>
    <cellStyle name="20% - Accent1 5 3 2" xfId="5901"/>
    <cellStyle name="20% - Accent1 5 3 2 2" xfId="12143"/>
    <cellStyle name="20% - Accent1 5 3 2 3" xfId="18298"/>
    <cellStyle name="20% - Accent1 5 3 2 4" xfId="24425"/>
    <cellStyle name="20% - Accent1 5 3 3" xfId="9055"/>
    <cellStyle name="20% - Accent1 5 3 4" xfId="15221"/>
    <cellStyle name="20% - Accent1 5 3 5" xfId="21349"/>
    <cellStyle name="20% - Accent1 5 4" xfId="2760"/>
    <cellStyle name="20% - Accent1 5 4 2" xfId="5899"/>
    <cellStyle name="20% - Accent1 5 4 2 2" xfId="12141"/>
    <cellStyle name="20% - Accent1 5 4 2 3" xfId="18296"/>
    <cellStyle name="20% - Accent1 5 4 2 4" xfId="24423"/>
    <cellStyle name="20% - Accent1 5 4 3" xfId="9053"/>
    <cellStyle name="20% - Accent1 5 4 4" xfId="15219"/>
    <cellStyle name="20% - Accent1 5 4 5" xfId="21347"/>
    <cellStyle name="20% - Accent1 5 5" xfId="5085"/>
    <cellStyle name="20% - Accent1 5 5 2" xfId="11328"/>
    <cellStyle name="20% - Accent1 5 5 3" xfId="17483"/>
    <cellStyle name="20% - Accent1 5 5 4" xfId="23610"/>
    <cellStyle name="20% - Accent1 5 6" xfId="8244"/>
    <cellStyle name="20% - Accent1 5 7" xfId="14229"/>
    <cellStyle name="20% - Accent1 5 8" xfId="20430"/>
    <cellStyle name="20% - Accent1 6" xfId="188"/>
    <cellStyle name="20% - Accent1 6 2" xfId="2764"/>
    <cellStyle name="20% - Accent1 6 2 2" xfId="5903"/>
    <cellStyle name="20% - Accent1 6 2 2 2" xfId="12145"/>
    <cellStyle name="20% - Accent1 6 2 2 3" xfId="18300"/>
    <cellStyle name="20% - Accent1 6 2 2 4" xfId="24427"/>
    <cellStyle name="20% - Accent1 6 2 3" xfId="9057"/>
    <cellStyle name="20% - Accent1 6 2 4" xfId="15223"/>
    <cellStyle name="20% - Accent1 6 2 5" xfId="21351"/>
    <cellStyle name="20% - Accent1 6 3" xfId="2763"/>
    <cellStyle name="20% - Accent1 6 3 2" xfId="5902"/>
    <cellStyle name="20% - Accent1 6 3 2 2" xfId="12144"/>
    <cellStyle name="20% - Accent1 6 3 2 3" xfId="18299"/>
    <cellStyle name="20% - Accent1 6 3 2 4" xfId="24426"/>
    <cellStyle name="20% - Accent1 6 3 3" xfId="9056"/>
    <cellStyle name="20% - Accent1 6 3 4" xfId="15222"/>
    <cellStyle name="20% - Accent1 6 3 5" xfId="21350"/>
    <cellStyle name="20% - Accent1 6 4" xfId="4969"/>
    <cellStyle name="20% - Accent1 6 4 2" xfId="11212"/>
    <cellStyle name="20% - Accent1 6 4 3" xfId="17367"/>
    <cellStyle name="20% - Accent1 6 4 4" xfId="23494"/>
    <cellStyle name="20% - Accent1 6 5" xfId="8127"/>
    <cellStyle name="20% - Accent1 6 6" xfId="15092"/>
    <cellStyle name="20% - Accent1 6 7" xfId="21220"/>
    <cellStyle name="20% - Accent1 7" xfId="2765"/>
    <cellStyle name="20% - Accent1 7 2" xfId="5904"/>
    <cellStyle name="20% - Accent1 7 2 2" xfId="12146"/>
    <cellStyle name="20% - Accent1 7 2 3" xfId="18301"/>
    <cellStyle name="20% - Accent1 7 2 4" xfId="24428"/>
    <cellStyle name="20% - Accent1 7 3" xfId="9058"/>
    <cellStyle name="20% - Accent1 7 4" xfId="15224"/>
    <cellStyle name="20% - Accent1 7 5" xfId="21352"/>
    <cellStyle name="20% - Accent1 8" xfId="4850"/>
    <cellStyle name="20% - Accent1 8 2" xfId="7895"/>
    <cellStyle name="20% - Accent1 8 2 2" xfId="14137"/>
    <cellStyle name="20% - Accent1 8 2 3" xfId="20292"/>
    <cellStyle name="20% - Accent1 8 2 4" xfId="26419"/>
    <cellStyle name="20% - Accent1 8 3" xfId="11106"/>
    <cellStyle name="20% - Accent1 8 4" xfId="17261"/>
    <cellStyle name="20% - Accent1 8 5" xfId="23388"/>
    <cellStyle name="20% - Accent1 9" xfId="4876"/>
    <cellStyle name="20% - Accent1 9 2" xfId="11122"/>
    <cellStyle name="20% - Accent1 9 3" xfId="17277"/>
    <cellStyle name="20% - Accent1 9 4" xfId="23404"/>
    <cellStyle name="20% - Accent2 10" xfId="15067"/>
    <cellStyle name="20% - Accent2 11" xfId="20316"/>
    <cellStyle name="20% - Accent2 2" xfId="38"/>
    <cellStyle name="20% - Accent2 2 10" xfId="2766"/>
    <cellStyle name="20% - Accent2 2 10 2" xfId="5905"/>
    <cellStyle name="20% - Accent2 2 10 2 2" xfId="12147"/>
    <cellStyle name="20% - Accent2 2 10 2 3" xfId="18302"/>
    <cellStyle name="20% - Accent2 2 10 2 4" xfId="24429"/>
    <cellStyle name="20% - Accent2 2 10 3" xfId="9059"/>
    <cellStyle name="20% - Accent2 2 10 4" xfId="15225"/>
    <cellStyle name="20% - Accent2 2 10 5" xfId="21353"/>
    <cellStyle name="20% - Accent2 2 11" xfId="4895"/>
    <cellStyle name="20% - Accent2 2 11 2" xfId="11139"/>
    <cellStyle name="20% - Accent2 2 11 3" xfId="17294"/>
    <cellStyle name="20% - Accent2 2 11 4" xfId="23421"/>
    <cellStyle name="20% - Accent2 2 12" xfId="8053"/>
    <cellStyle name="20% - Accent2 2 13" xfId="14230"/>
    <cellStyle name="20% - Accent2 2 14" xfId="20333"/>
    <cellStyle name="20% - Accent2 2 2" xfId="39"/>
    <cellStyle name="20% - Accent2 2 2 10" xfId="4896"/>
    <cellStyle name="20% - Accent2 2 2 10 2" xfId="11140"/>
    <cellStyle name="20% - Accent2 2 2 10 3" xfId="17295"/>
    <cellStyle name="20% - Accent2 2 2 10 4" xfId="23422"/>
    <cellStyle name="20% - Accent2 2 2 11" xfId="8054"/>
    <cellStyle name="20% - Accent2 2 2 12" xfId="14231"/>
    <cellStyle name="20% - Accent2 2 2 13" xfId="20334"/>
    <cellStyle name="20% - Accent2 2 2 2" xfId="1988"/>
    <cellStyle name="20% - Accent2 2 2 2 10" xfId="20665"/>
    <cellStyle name="20% - Accent2 2 2 2 2" xfId="2374"/>
    <cellStyle name="20% - Accent2 2 2 2 2 2" xfId="2770"/>
    <cellStyle name="20% - Accent2 2 2 2 2 2 2" xfId="5909"/>
    <cellStyle name="20% - Accent2 2 2 2 2 2 2 2" xfId="12151"/>
    <cellStyle name="20% - Accent2 2 2 2 2 2 2 3" xfId="18306"/>
    <cellStyle name="20% - Accent2 2 2 2 2 2 2 4" xfId="24433"/>
    <cellStyle name="20% - Accent2 2 2 2 2 2 3" xfId="9063"/>
    <cellStyle name="20% - Accent2 2 2 2 2 2 4" xfId="15229"/>
    <cellStyle name="20% - Accent2 2 2 2 2 2 5" xfId="21357"/>
    <cellStyle name="20% - Accent2 2 2 2 2 3" xfId="2769"/>
    <cellStyle name="20% - Accent2 2 2 2 2 3 2" xfId="5908"/>
    <cellStyle name="20% - Accent2 2 2 2 2 3 2 2" xfId="12150"/>
    <cellStyle name="20% - Accent2 2 2 2 2 3 2 3" xfId="18305"/>
    <cellStyle name="20% - Accent2 2 2 2 2 3 2 4" xfId="24432"/>
    <cellStyle name="20% - Accent2 2 2 2 2 3 3" xfId="9062"/>
    <cellStyle name="20% - Accent2 2 2 2 2 3 4" xfId="15228"/>
    <cellStyle name="20% - Accent2 2 2 2 2 3 5" xfId="21356"/>
    <cellStyle name="20% - Accent2 2 2 2 2 4" xfId="5687"/>
    <cellStyle name="20% - Accent2 2 2 2 2 4 2" xfId="11929"/>
    <cellStyle name="20% - Accent2 2 2 2 2 4 3" xfId="18084"/>
    <cellStyle name="20% - Accent2 2 2 2 2 4 4" xfId="24211"/>
    <cellStyle name="20% - Accent2 2 2 2 2 5" xfId="8841"/>
    <cellStyle name="20% - Accent2 2 2 2 2 6" xfId="14233"/>
    <cellStyle name="20% - Accent2 2 2 2 2 7" xfId="21021"/>
    <cellStyle name="20% - Accent2 2 2 2 3" xfId="2199"/>
    <cellStyle name="20% - Accent2 2 2 2 3 2" xfId="2772"/>
    <cellStyle name="20% - Accent2 2 2 2 3 2 2" xfId="5911"/>
    <cellStyle name="20% - Accent2 2 2 2 3 2 2 2" xfId="12153"/>
    <cellStyle name="20% - Accent2 2 2 2 3 2 2 3" xfId="18308"/>
    <cellStyle name="20% - Accent2 2 2 2 3 2 2 4" xfId="24435"/>
    <cellStyle name="20% - Accent2 2 2 2 3 2 3" xfId="9065"/>
    <cellStyle name="20% - Accent2 2 2 2 3 2 4" xfId="15231"/>
    <cellStyle name="20% - Accent2 2 2 2 3 2 5" xfId="21359"/>
    <cellStyle name="20% - Accent2 2 2 2 3 3" xfId="2771"/>
    <cellStyle name="20% - Accent2 2 2 2 3 3 2" xfId="5910"/>
    <cellStyle name="20% - Accent2 2 2 2 3 3 2 2" xfId="12152"/>
    <cellStyle name="20% - Accent2 2 2 2 3 3 2 3" xfId="18307"/>
    <cellStyle name="20% - Accent2 2 2 2 3 3 2 4" xfId="24434"/>
    <cellStyle name="20% - Accent2 2 2 2 3 3 3" xfId="9064"/>
    <cellStyle name="20% - Accent2 2 2 2 3 3 4" xfId="15230"/>
    <cellStyle name="20% - Accent2 2 2 2 3 3 5" xfId="21358"/>
    <cellStyle name="20% - Accent2 2 2 2 3 4" xfId="5512"/>
    <cellStyle name="20% - Accent2 2 2 2 3 4 2" xfId="11754"/>
    <cellStyle name="20% - Accent2 2 2 2 3 4 3" xfId="17909"/>
    <cellStyle name="20% - Accent2 2 2 2 3 4 4" xfId="24036"/>
    <cellStyle name="20% - Accent2 2 2 2 3 5" xfId="8666"/>
    <cellStyle name="20% - Accent2 2 2 2 3 6" xfId="14234"/>
    <cellStyle name="20% - Accent2 2 2 2 3 7" xfId="20846"/>
    <cellStyle name="20% - Accent2 2 2 2 4" xfId="2773"/>
    <cellStyle name="20% - Accent2 2 2 2 4 2" xfId="5912"/>
    <cellStyle name="20% - Accent2 2 2 2 4 2 2" xfId="12154"/>
    <cellStyle name="20% - Accent2 2 2 2 4 2 3" xfId="18309"/>
    <cellStyle name="20% - Accent2 2 2 2 4 2 4" xfId="24436"/>
    <cellStyle name="20% - Accent2 2 2 2 4 3" xfId="9066"/>
    <cellStyle name="20% - Accent2 2 2 2 4 4" xfId="15232"/>
    <cellStyle name="20% - Accent2 2 2 2 4 5" xfId="21360"/>
    <cellStyle name="20% - Accent2 2 2 2 5" xfId="2774"/>
    <cellStyle name="20% - Accent2 2 2 2 5 2" xfId="5913"/>
    <cellStyle name="20% - Accent2 2 2 2 5 2 2" xfId="12155"/>
    <cellStyle name="20% - Accent2 2 2 2 5 2 3" xfId="18310"/>
    <cellStyle name="20% - Accent2 2 2 2 5 2 4" xfId="24437"/>
    <cellStyle name="20% - Accent2 2 2 2 5 3" xfId="9067"/>
    <cellStyle name="20% - Accent2 2 2 2 5 4" xfId="15233"/>
    <cellStyle name="20% - Accent2 2 2 2 5 5" xfId="21361"/>
    <cellStyle name="20% - Accent2 2 2 2 6" xfId="2768"/>
    <cellStyle name="20% - Accent2 2 2 2 6 2" xfId="5907"/>
    <cellStyle name="20% - Accent2 2 2 2 6 2 2" xfId="12149"/>
    <cellStyle name="20% - Accent2 2 2 2 6 2 3" xfId="18304"/>
    <cellStyle name="20% - Accent2 2 2 2 6 2 4" xfId="24431"/>
    <cellStyle name="20% - Accent2 2 2 2 6 3" xfId="9061"/>
    <cellStyle name="20% - Accent2 2 2 2 6 4" xfId="15227"/>
    <cellStyle name="20% - Accent2 2 2 2 6 5" xfId="21355"/>
    <cellStyle name="20% - Accent2 2 2 2 7" xfId="5330"/>
    <cellStyle name="20% - Accent2 2 2 2 7 2" xfId="11572"/>
    <cellStyle name="20% - Accent2 2 2 2 7 3" xfId="17727"/>
    <cellStyle name="20% - Accent2 2 2 2 7 4" xfId="23854"/>
    <cellStyle name="20% - Accent2 2 2 2 8" xfId="8485"/>
    <cellStyle name="20% - Accent2 2 2 2 9" xfId="14232"/>
    <cellStyle name="20% - Accent2 2 2 3" xfId="2291"/>
    <cellStyle name="20% - Accent2 2 2 3 2" xfId="2776"/>
    <cellStyle name="20% - Accent2 2 2 3 2 2" xfId="5915"/>
    <cellStyle name="20% - Accent2 2 2 3 2 2 2" xfId="12157"/>
    <cellStyle name="20% - Accent2 2 2 3 2 2 3" xfId="18312"/>
    <cellStyle name="20% - Accent2 2 2 3 2 2 4" xfId="24439"/>
    <cellStyle name="20% - Accent2 2 2 3 2 3" xfId="9069"/>
    <cellStyle name="20% - Accent2 2 2 3 2 4" xfId="15235"/>
    <cellStyle name="20% - Accent2 2 2 3 2 5" xfId="21363"/>
    <cellStyle name="20% - Accent2 2 2 3 3" xfId="2775"/>
    <cellStyle name="20% - Accent2 2 2 3 3 2" xfId="5914"/>
    <cellStyle name="20% - Accent2 2 2 3 3 2 2" xfId="12156"/>
    <cellStyle name="20% - Accent2 2 2 3 3 2 3" xfId="18311"/>
    <cellStyle name="20% - Accent2 2 2 3 3 2 4" xfId="24438"/>
    <cellStyle name="20% - Accent2 2 2 3 3 3" xfId="9068"/>
    <cellStyle name="20% - Accent2 2 2 3 3 4" xfId="15234"/>
    <cellStyle name="20% - Accent2 2 2 3 3 5" xfId="21362"/>
    <cellStyle name="20% - Accent2 2 2 3 4" xfId="5604"/>
    <cellStyle name="20% - Accent2 2 2 3 4 2" xfId="11846"/>
    <cellStyle name="20% - Accent2 2 2 3 4 3" xfId="18001"/>
    <cellStyle name="20% - Accent2 2 2 3 4 4" xfId="24128"/>
    <cellStyle name="20% - Accent2 2 2 3 5" xfId="8758"/>
    <cellStyle name="20% - Accent2 2 2 3 6" xfId="14235"/>
    <cellStyle name="20% - Accent2 2 2 3 7" xfId="20938"/>
    <cellStyle name="20% - Accent2 2 2 4" xfId="2124"/>
    <cellStyle name="20% - Accent2 2 2 4 2" xfId="2778"/>
    <cellStyle name="20% - Accent2 2 2 4 2 2" xfId="5917"/>
    <cellStyle name="20% - Accent2 2 2 4 2 2 2" xfId="12159"/>
    <cellStyle name="20% - Accent2 2 2 4 2 2 3" xfId="18314"/>
    <cellStyle name="20% - Accent2 2 2 4 2 2 4" xfId="24441"/>
    <cellStyle name="20% - Accent2 2 2 4 2 3" xfId="9071"/>
    <cellStyle name="20% - Accent2 2 2 4 2 4" xfId="15237"/>
    <cellStyle name="20% - Accent2 2 2 4 2 5" xfId="21365"/>
    <cellStyle name="20% - Accent2 2 2 4 3" xfId="2777"/>
    <cellStyle name="20% - Accent2 2 2 4 3 2" xfId="5916"/>
    <cellStyle name="20% - Accent2 2 2 4 3 2 2" xfId="12158"/>
    <cellStyle name="20% - Accent2 2 2 4 3 2 3" xfId="18313"/>
    <cellStyle name="20% - Accent2 2 2 4 3 2 4" xfId="24440"/>
    <cellStyle name="20% - Accent2 2 2 4 3 3" xfId="9070"/>
    <cellStyle name="20% - Accent2 2 2 4 3 4" xfId="15236"/>
    <cellStyle name="20% - Accent2 2 2 4 3 5" xfId="21364"/>
    <cellStyle name="20% - Accent2 2 2 4 4" xfId="5437"/>
    <cellStyle name="20% - Accent2 2 2 4 4 2" xfId="11679"/>
    <cellStyle name="20% - Accent2 2 2 4 4 3" xfId="17834"/>
    <cellStyle name="20% - Accent2 2 2 4 4 4" xfId="23961"/>
    <cellStyle name="20% - Accent2 2 2 4 5" xfId="8591"/>
    <cellStyle name="20% - Accent2 2 2 4 6" xfId="14236"/>
    <cellStyle name="20% - Accent2 2 2 4 7" xfId="20771"/>
    <cellStyle name="20% - Accent2 2 2 5" xfId="761"/>
    <cellStyle name="20% - Accent2 2 2 5 2" xfId="2780"/>
    <cellStyle name="20% - Accent2 2 2 5 2 2" xfId="5919"/>
    <cellStyle name="20% - Accent2 2 2 5 2 2 2" xfId="12161"/>
    <cellStyle name="20% - Accent2 2 2 5 2 2 3" xfId="18316"/>
    <cellStyle name="20% - Accent2 2 2 5 2 2 4" xfId="24443"/>
    <cellStyle name="20% - Accent2 2 2 5 2 3" xfId="9073"/>
    <cellStyle name="20% - Accent2 2 2 5 2 4" xfId="15239"/>
    <cellStyle name="20% - Accent2 2 2 5 2 5" xfId="21367"/>
    <cellStyle name="20% - Accent2 2 2 5 3" xfId="2779"/>
    <cellStyle name="20% - Accent2 2 2 5 3 2" xfId="5918"/>
    <cellStyle name="20% - Accent2 2 2 5 3 2 2" xfId="12160"/>
    <cellStyle name="20% - Accent2 2 2 5 3 2 3" xfId="18315"/>
    <cellStyle name="20% - Accent2 2 2 5 3 2 4" xfId="24442"/>
    <cellStyle name="20% - Accent2 2 2 5 3 3" xfId="9072"/>
    <cellStyle name="20% - Accent2 2 2 5 3 4" xfId="15238"/>
    <cellStyle name="20% - Accent2 2 2 5 3 5" xfId="21366"/>
    <cellStyle name="20% - Accent2 2 2 5 4" xfId="5110"/>
    <cellStyle name="20% - Accent2 2 2 5 4 2" xfId="11353"/>
    <cellStyle name="20% - Accent2 2 2 5 4 3" xfId="17508"/>
    <cellStyle name="20% - Accent2 2 2 5 4 4" xfId="23635"/>
    <cellStyle name="20% - Accent2 2 2 5 5" xfId="8267"/>
    <cellStyle name="20% - Accent2 2 2 5 6" xfId="14237"/>
    <cellStyle name="20% - Accent2 2 2 5 7" xfId="20450"/>
    <cellStyle name="20% - Accent2 2 2 6" xfId="208"/>
    <cellStyle name="20% - Accent2 2 2 6 2" xfId="2782"/>
    <cellStyle name="20% - Accent2 2 2 6 2 2" xfId="5921"/>
    <cellStyle name="20% - Accent2 2 2 6 2 2 2" xfId="12163"/>
    <cellStyle name="20% - Accent2 2 2 6 2 2 3" xfId="18318"/>
    <cellStyle name="20% - Accent2 2 2 6 2 2 4" xfId="24445"/>
    <cellStyle name="20% - Accent2 2 2 6 2 3" xfId="9075"/>
    <cellStyle name="20% - Accent2 2 2 6 2 4" xfId="15241"/>
    <cellStyle name="20% - Accent2 2 2 6 2 5" xfId="21369"/>
    <cellStyle name="20% - Accent2 2 2 6 3" xfId="2781"/>
    <cellStyle name="20% - Accent2 2 2 6 3 2" xfId="5920"/>
    <cellStyle name="20% - Accent2 2 2 6 3 2 2" xfId="12162"/>
    <cellStyle name="20% - Accent2 2 2 6 3 2 3" xfId="18317"/>
    <cellStyle name="20% - Accent2 2 2 6 3 2 4" xfId="24444"/>
    <cellStyle name="20% - Accent2 2 2 6 3 3" xfId="9074"/>
    <cellStyle name="20% - Accent2 2 2 6 3 4" xfId="15240"/>
    <cellStyle name="20% - Accent2 2 2 6 3 5" xfId="21368"/>
    <cellStyle name="20% - Accent2 2 2 6 4" xfId="4988"/>
    <cellStyle name="20% - Accent2 2 2 6 4 2" xfId="11231"/>
    <cellStyle name="20% - Accent2 2 2 6 4 3" xfId="17386"/>
    <cellStyle name="20% - Accent2 2 2 6 4 4" xfId="23513"/>
    <cellStyle name="20% - Accent2 2 2 6 5" xfId="8146"/>
    <cellStyle name="20% - Accent2 2 2 6 6" xfId="14238"/>
    <cellStyle name="20% - Accent2 2 2 6 7" xfId="21142"/>
    <cellStyle name="20% - Accent2 2 2 7" xfId="2783"/>
    <cellStyle name="20% - Accent2 2 2 7 2" xfId="5922"/>
    <cellStyle name="20% - Accent2 2 2 7 2 2" xfId="12164"/>
    <cellStyle name="20% - Accent2 2 2 7 2 3" xfId="18319"/>
    <cellStyle name="20% - Accent2 2 2 7 2 4" xfId="24446"/>
    <cellStyle name="20% - Accent2 2 2 7 3" xfId="9076"/>
    <cellStyle name="20% - Accent2 2 2 7 4" xfId="15242"/>
    <cellStyle name="20% - Accent2 2 2 7 5" xfId="21370"/>
    <cellStyle name="20% - Accent2 2 2 8" xfId="2784"/>
    <cellStyle name="20% - Accent2 2 2 8 2" xfId="5923"/>
    <cellStyle name="20% - Accent2 2 2 8 2 2" xfId="12165"/>
    <cellStyle name="20% - Accent2 2 2 8 2 3" xfId="18320"/>
    <cellStyle name="20% - Accent2 2 2 8 2 4" xfId="24447"/>
    <cellStyle name="20% - Accent2 2 2 8 3" xfId="9077"/>
    <cellStyle name="20% - Accent2 2 2 8 4" xfId="15243"/>
    <cellStyle name="20% - Accent2 2 2 8 5" xfId="21371"/>
    <cellStyle name="20% - Accent2 2 2 9" xfId="2767"/>
    <cellStyle name="20% - Accent2 2 2 9 2" xfId="5906"/>
    <cellStyle name="20% - Accent2 2 2 9 2 2" xfId="12148"/>
    <cellStyle name="20% - Accent2 2 2 9 2 3" xfId="18303"/>
    <cellStyle name="20% - Accent2 2 2 9 2 4" xfId="24430"/>
    <cellStyle name="20% - Accent2 2 2 9 3" xfId="9060"/>
    <cellStyle name="20% - Accent2 2 2 9 4" xfId="15226"/>
    <cellStyle name="20% - Accent2 2 2 9 5" xfId="21354"/>
    <cellStyle name="20% - Accent2 2 3" xfId="947"/>
    <cellStyle name="20% - Accent2 2 3 2" xfId="2373"/>
    <cellStyle name="20% - Accent2 2 3 2 2" xfId="2786"/>
    <cellStyle name="20% - Accent2 2 3 2 2 2" xfId="5925"/>
    <cellStyle name="20% - Accent2 2 3 2 2 2 2" xfId="12167"/>
    <cellStyle name="20% - Accent2 2 3 2 2 2 3" xfId="18322"/>
    <cellStyle name="20% - Accent2 2 3 2 2 2 4" xfId="24449"/>
    <cellStyle name="20% - Accent2 2 3 2 2 3" xfId="9079"/>
    <cellStyle name="20% - Accent2 2 3 2 2 4" xfId="15245"/>
    <cellStyle name="20% - Accent2 2 3 2 2 5" xfId="21373"/>
    <cellStyle name="20% - Accent2 2 3 2 3" xfId="2785"/>
    <cellStyle name="20% - Accent2 2 3 2 3 2" xfId="5924"/>
    <cellStyle name="20% - Accent2 2 3 2 3 2 2" xfId="12166"/>
    <cellStyle name="20% - Accent2 2 3 2 3 2 3" xfId="18321"/>
    <cellStyle name="20% - Accent2 2 3 2 3 2 4" xfId="24448"/>
    <cellStyle name="20% - Accent2 2 3 2 3 3" xfId="9078"/>
    <cellStyle name="20% - Accent2 2 3 2 3 4" xfId="15244"/>
    <cellStyle name="20% - Accent2 2 3 2 3 5" xfId="21372"/>
    <cellStyle name="20% - Accent2 2 3 2 4" xfId="5686"/>
    <cellStyle name="20% - Accent2 2 3 2 4 2" xfId="11928"/>
    <cellStyle name="20% - Accent2 2 3 2 4 3" xfId="18083"/>
    <cellStyle name="20% - Accent2 2 3 2 4 4" xfId="24210"/>
    <cellStyle name="20% - Accent2 2 3 2 5" xfId="8840"/>
    <cellStyle name="20% - Accent2 2 3 2 6" xfId="14239"/>
    <cellStyle name="20% - Accent2 2 3 2 7" xfId="21020"/>
    <cellStyle name="20% - Accent2 2 3 3" xfId="2198"/>
    <cellStyle name="20% - Accent2 2 3 3 2" xfId="2788"/>
    <cellStyle name="20% - Accent2 2 3 3 2 2" xfId="5927"/>
    <cellStyle name="20% - Accent2 2 3 3 2 2 2" xfId="12169"/>
    <cellStyle name="20% - Accent2 2 3 3 2 2 3" xfId="18324"/>
    <cellStyle name="20% - Accent2 2 3 3 2 2 4" xfId="24451"/>
    <cellStyle name="20% - Accent2 2 3 3 2 3" xfId="9081"/>
    <cellStyle name="20% - Accent2 2 3 3 2 4" xfId="15247"/>
    <cellStyle name="20% - Accent2 2 3 3 2 5" xfId="21375"/>
    <cellStyle name="20% - Accent2 2 3 3 3" xfId="2787"/>
    <cellStyle name="20% - Accent2 2 3 3 3 2" xfId="5926"/>
    <cellStyle name="20% - Accent2 2 3 3 3 2 2" xfId="12168"/>
    <cellStyle name="20% - Accent2 2 3 3 3 2 3" xfId="18323"/>
    <cellStyle name="20% - Accent2 2 3 3 3 2 4" xfId="24450"/>
    <cellStyle name="20% - Accent2 2 3 3 3 3" xfId="9080"/>
    <cellStyle name="20% - Accent2 2 3 3 3 4" xfId="15246"/>
    <cellStyle name="20% - Accent2 2 3 3 3 5" xfId="21374"/>
    <cellStyle name="20% - Accent2 2 3 3 4" xfId="5511"/>
    <cellStyle name="20% - Accent2 2 3 3 4 2" xfId="11753"/>
    <cellStyle name="20% - Accent2 2 3 3 4 3" xfId="17908"/>
    <cellStyle name="20% - Accent2 2 3 3 4 4" xfId="24035"/>
    <cellStyle name="20% - Accent2 2 3 3 5" xfId="8665"/>
    <cellStyle name="20% - Accent2 2 3 3 6" xfId="14240"/>
    <cellStyle name="20% - Accent2 2 3 3 7" xfId="20845"/>
    <cellStyle name="20% - Accent2 2 3 4" xfId="1987"/>
    <cellStyle name="20% - Accent2 2 3 4 2" xfId="2790"/>
    <cellStyle name="20% - Accent2 2 3 4 2 2" xfId="5929"/>
    <cellStyle name="20% - Accent2 2 3 4 2 2 2" xfId="12171"/>
    <cellStyle name="20% - Accent2 2 3 4 2 2 3" xfId="18326"/>
    <cellStyle name="20% - Accent2 2 3 4 2 2 4" xfId="24453"/>
    <cellStyle name="20% - Accent2 2 3 4 2 3" xfId="9083"/>
    <cellStyle name="20% - Accent2 2 3 4 2 4" xfId="15249"/>
    <cellStyle name="20% - Accent2 2 3 4 2 5" xfId="21377"/>
    <cellStyle name="20% - Accent2 2 3 4 3" xfId="2789"/>
    <cellStyle name="20% - Accent2 2 3 4 3 2" xfId="5928"/>
    <cellStyle name="20% - Accent2 2 3 4 3 2 2" xfId="12170"/>
    <cellStyle name="20% - Accent2 2 3 4 3 2 3" xfId="18325"/>
    <cellStyle name="20% - Accent2 2 3 4 3 2 4" xfId="24452"/>
    <cellStyle name="20% - Accent2 2 3 4 3 3" xfId="9082"/>
    <cellStyle name="20% - Accent2 2 3 4 3 4" xfId="15248"/>
    <cellStyle name="20% - Accent2 2 3 4 3 5" xfId="21376"/>
    <cellStyle name="20% - Accent2 2 3 4 4" xfId="5329"/>
    <cellStyle name="20% - Accent2 2 3 4 4 2" xfId="11571"/>
    <cellStyle name="20% - Accent2 2 3 4 4 3" xfId="17726"/>
    <cellStyle name="20% - Accent2 2 3 4 4 4" xfId="23853"/>
    <cellStyle name="20% - Accent2 2 3 4 5" xfId="8484"/>
    <cellStyle name="20% - Accent2 2 3 4 6" xfId="14241"/>
    <cellStyle name="20% - Accent2 2 3 4 7" xfId="20664"/>
    <cellStyle name="20% - Accent2 2 3 5" xfId="2791"/>
    <cellStyle name="20% - Accent2 2 3 6" xfId="2792"/>
    <cellStyle name="20% - Accent2 2 3 6 2" xfId="5930"/>
    <cellStyle name="20% - Accent2 2 3 6 2 2" xfId="12172"/>
    <cellStyle name="20% - Accent2 2 3 6 2 3" xfId="18327"/>
    <cellStyle name="20% - Accent2 2 3 6 2 4" xfId="24454"/>
    <cellStyle name="20% - Accent2 2 3 6 3" xfId="9084"/>
    <cellStyle name="20% - Accent2 2 3 6 4" xfId="15250"/>
    <cellStyle name="20% - Accent2 2 3 6 5" xfId="21378"/>
    <cellStyle name="20% - Accent2 2 4" xfId="2290"/>
    <cellStyle name="20% - Accent2 2 4 2" xfId="2794"/>
    <cellStyle name="20% - Accent2 2 4 2 2" xfId="5932"/>
    <cellStyle name="20% - Accent2 2 4 2 2 2" xfId="12174"/>
    <cellStyle name="20% - Accent2 2 4 2 2 3" xfId="18329"/>
    <cellStyle name="20% - Accent2 2 4 2 2 4" xfId="24456"/>
    <cellStyle name="20% - Accent2 2 4 2 3" xfId="9086"/>
    <cellStyle name="20% - Accent2 2 4 2 4" xfId="15252"/>
    <cellStyle name="20% - Accent2 2 4 2 5" xfId="21380"/>
    <cellStyle name="20% - Accent2 2 4 3" xfId="2793"/>
    <cellStyle name="20% - Accent2 2 4 3 2" xfId="5931"/>
    <cellStyle name="20% - Accent2 2 4 3 2 2" xfId="12173"/>
    <cellStyle name="20% - Accent2 2 4 3 2 3" xfId="18328"/>
    <cellStyle name="20% - Accent2 2 4 3 2 4" xfId="24455"/>
    <cellStyle name="20% - Accent2 2 4 3 3" xfId="9085"/>
    <cellStyle name="20% - Accent2 2 4 3 4" xfId="15251"/>
    <cellStyle name="20% - Accent2 2 4 3 5" xfId="21379"/>
    <cellStyle name="20% - Accent2 2 4 4" xfId="5603"/>
    <cellStyle name="20% - Accent2 2 4 4 2" xfId="11845"/>
    <cellStyle name="20% - Accent2 2 4 4 3" xfId="18000"/>
    <cellStyle name="20% - Accent2 2 4 4 4" xfId="24127"/>
    <cellStyle name="20% - Accent2 2 4 5" xfId="8757"/>
    <cellStyle name="20% - Accent2 2 4 6" xfId="14242"/>
    <cellStyle name="20% - Accent2 2 4 7" xfId="20937"/>
    <cellStyle name="20% - Accent2 2 5" xfId="2123"/>
    <cellStyle name="20% - Accent2 2 5 2" xfId="2796"/>
    <cellStyle name="20% - Accent2 2 5 2 2" xfId="5934"/>
    <cellStyle name="20% - Accent2 2 5 2 2 2" xfId="12176"/>
    <cellStyle name="20% - Accent2 2 5 2 2 3" xfId="18331"/>
    <cellStyle name="20% - Accent2 2 5 2 2 4" xfId="24458"/>
    <cellStyle name="20% - Accent2 2 5 2 3" xfId="9088"/>
    <cellStyle name="20% - Accent2 2 5 2 4" xfId="15254"/>
    <cellStyle name="20% - Accent2 2 5 2 5" xfId="21382"/>
    <cellStyle name="20% - Accent2 2 5 3" xfId="2795"/>
    <cellStyle name="20% - Accent2 2 5 3 2" xfId="5933"/>
    <cellStyle name="20% - Accent2 2 5 3 2 2" xfId="12175"/>
    <cellStyle name="20% - Accent2 2 5 3 2 3" xfId="18330"/>
    <cellStyle name="20% - Accent2 2 5 3 2 4" xfId="24457"/>
    <cellStyle name="20% - Accent2 2 5 3 3" xfId="9087"/>
    <cellStyle name="20% - Accent2 2 5 3 4" xfId="15253"/>
    <cellStyle name="20% - Accent2 2 5 3 5" xfId="21381"/>
    <cellStyle name="20% - Accent2 2 5 4" xfId="5436"/>
    <cellStyle name="20% - Accent2 2 5 4 2" xfId="11678"/>
    <cellStyle name="20% - Accent2 2 5 4 3" xfId="17833"/>
    <cellStyle name="20% - Accent2 2 5 4 4" xfId="23960"/>
    <cellStyle name="20% - Accent2 2 5 5" xfId="8590"/>
    <cellStyle name="20% - Accent2 2 5 6" xfId="14243"/>
    <cellStyle name="20% - Accent2 2 5 7" xfId="20770"/>
    <cellStyle name="20% - Accent2 2 6" xfId="760"/>
    <cellStyle name="20% - Accent2 2 6 2" xfId="2798"/>
    <cellStyle name="20% - Accent2 2 6 2 2" xfId="5936"/>
    <cellStyle name="20% - Accent2 2 6 2 2 2" xfId="12178"/>
    <cellStyle name="20% - Accent2 2 6 2 2 3" xfId="18333"/>
    <cellStyle name="20% - Accent2 2 6 2 2 4" xfId="24460"/>
    <cellStyle name="20% - Accent2 2 6 2 3" xfId="9090"/>
    <cellStyle name="20% - Accent2 2 6 2 4" xfId="15256"/>
    <cellStyle name="20% - Accent2 2 6 2 5" xfId="21384"/>
    <cellStyle name="20% - Accent2 2 6 3" xfId="2797"/>
    <cellStyle name="20% - Accent2 2 6 3 2" xfId="5935"/>
    <cellStyle name="20% - Accent2 2 6 3 2 2" xfId="12177"/>
    <cellStyle name="20% - Accent2 2 6 3 2 3" xfId="18332"/>
    <cellStyle name="20% - Accent2 2 6 3 2 4" xfId="24459"/>
    <cellStyle name="20% - Accent2 2 6 3 3" xfId="9089"/>
    <cellStyle name="20% - Accent2 2 6 3 4" xfId="15255"/>
    <cellStyle name="20% - Accent2 2 6 3 5" xfId="21383"/>
    <cellStyle name="20% - Accent2 2 6 4" xfId="5109"/>
    <cellStyle name="20% - Accent2 2 6 4 2" xfId="11352"/>
    <cellStyle name="20% - Accent2 2 6 4 3" xfId="17507"/>
    <cellStyle name="20% - Accent2 2 6 4 4" xfId="23634"/>
    <cellStyle name="20% - Accent2 2 6 5" xfId="8266"/>
    <cellStyle name="20% - Accent2 2 6 6" xfId="14244"/>
    <cellStyle name="20% - Accent2 2 6 7" xfId="20449"/>
    <cellStyle name="20% - Accent2 2 7" xfId="207"/>
    <cellStyle name="20% - Accent2 2 7 2" xfId="2800"/>
    <cellStyle name="20% - Accent2 2 7 2 2" xfId="5938"/>
    <cellStyle name="20% - Accent2 2 7 2 2 2" xfId="12180"/>
    <cellStyle name="20% - Accent2 2 7 2 2 3" xfId="18335"/>
    <cellStyle name="20% - Accent2 2 7 2 2 4" xfId="24462"/>
    <cellStyle name="20% - Accent2 2 7 2 3" xfId="9092"/>
    <cellStyle name="20% - Accent2 2 7 2 4" xfId="15258"/>
    <cellStyle name="20% - Accent2 2 7 2 5" xfId="21386"/>
    <cellStyle name="20% - Accent2 2 7 3" xfId="2799"/>
    <cellStyle name="20% - Accent2 2 7 3 2" xfId="5937"/>
    <cellStyle name="20% - Accent2 2 7 3 2 2" xfId="12179"/>
    <cellStyle name="20% - Accent2 2 7 3 2 3" xfId="18334"/>
    <cellStyle name="20% - Accent2 2 7 3 2 4" xfId="24461"/>
    <cellStyle name="20% - Accent2 2 7 3 3" xfId="9091"/>
    <cellStyle name="20% - Accent2 2 7 3 4" xfId="15257"/>
    <cellStyle name="20% - Accent2 2 7 3 5" xfId="21385"/>
    <cellStyle name="20% - Accent2 2 7 4" xfId="4987"/>
    <cellStyle name="20% - Accent2 2 7 4 2" xfId="11230"/>
    <cellStyle name="20% - Accent2 2 7 4 3" xfId="17385"/>
    <cellStyle name="20% - Accent2 2 7 4 4" xfId="23512"/>
    <cellStyle name="20% - Accent2 2 7 5" xfId="8145"/>
    <cellStyle name="20% - Accent2 2 7 6" xfId="14245"/>
    <cellStyle name="20% - Accent2 2 7 7" xfId="21141"/>
    <cellStyle name="20% - Accent2 2 8" xfId="2801"/>
    <cellStyle name="20% - Accent2 2 8 2" xfId="5939"/>
    <cellStyle name="20% - Accent2 2 8 2 2" xfId="12181"/>
    <cellStyle name="20% - Accent2 2 8 2 3" xfId="18336"/>
    <cellStyle name="20% - Accent2 2 8 2 4" xfId="24463"/>
    <cellStyle name="20% - Accent2 2 8 3" xfId="9093"/>
    <cellStyle name="20% - Accent2 2 8 4" xfId="15259"/>
    <cellStyle name="20% - Accent2 2 8 5" xfId="21387"/>
    <cellStyle name="20% - Accent2 2 9" xfId="2802"/>
    <cellStyle name="20% - Accent2 2 9 2" xfId="5940"/>
    <cellStyle name="20% - Accent2 2 9 2 2" xfId="12182"/>
    <cellStyle name="20% - Accent2 2 9 2 3" xfId="18337"/>
    <cellStyle name="20% - Accent2 2 9 2 4" xfId="24464"/>
    <cellStyle name="20% - Accent2 2 9 3" xfId="9094"/>
    <cellStyle name="20% - Accent2 2 9 4" xfId="15260"/>
    <cellStyle name="20% - Accent2 2 9 5" xfId="21388"/>
    <cellStyle name="20% - Accent2 3" xfId="40"/>
    <cellStyle name="20% - Accent2 3 10" xfId="2803"/>
    <cellStyle name="20% - Accent2 3 10 2" xfId="5941"/>
    <cellStyle name="20% - Accent2 3 10 2 2" xfId="12183"/>
    <cellStyle name="20% - Accent2 3 10 2 3" xfId="18338"/>
    <cellStyle name="20% - Accent2 3 10 2 4" xfId="24465"/>
    <cellStyle name="20% - Accent2 3 10 3" xfId="9095"/>
    <cellStyle name="20% - Accent2 3 10 4" xfId="15261"/>
    <cellStyle name="20% - Accent2 3 10 5" xfId="21389"/>
    <cellStyle name="20% - Accent2 3 11" xfId="4897"/>
    <cellStyle name="20% - Accent2 3 11 2" xfId="11141"/>
    <cellStyle name="20% - Accent2 3 11 3" xfId="17296"/>
    <cellStyle name="20% - Accent2 3 11 4" xfId="23423"/>
    <cellStyle name="20% - Accent2 3 12" xfId="8055"/>
    <cellStyle name="20% - Accent2 3 13" xfId="14246"/>
    <cellStyle name="20% - Accent2 3 14" xfId="20335"/>
    <cellStyle name="20% - Accent2 3 2" xfId="41"/>
    <cellStyle name="20% - Accent2 3 2 10" xfId="4898"/>
    <cellStyle name="20% - Accent2 3 2 10 2" xfId="11142"/>
    <cellStyle name="20% - Accent2 3 2 10 3" xfId="17297"/>
    <cellStyle name="20% - Accent2 3 2 10 4" xfId="23424"/>
    <cellStyle name="20% - Accent2 3 2 11" xfId="8056"/>
    <cellStyle name="20% - Accent2 3 2 12" xfId="14247"/>
    <cellStyle name="20% - Accent2 3 2 13" xfId="20336"/>
    <cellStyle name="20% - Accent2 3 2 2" xfId="1990"/>
    <cellStyle name="20% - Accent2 3 2 2 10" xfId="20667"/>
    <cellStyle name="20% - Accent2 3 2 2 2" xfId="2376"/>
    <cellStyle name="20% - Accent2 3 2 2 2 2" xfId="2807"/>
    <cellStyle name="20% - Accent2 3 2 2 2 2 2" xfId="5945"/>
    <cellStyle name="20% - Accent2 3 2 2 2 2 2 2" xfId="12187"/>
    <cellStyle name="20% - Accent2 3 2 2 2 2 2 3" xfId="18342"/>
    <cellStyle name="20% - Accent2 3 2 2 2 2 2 4" xfId="24469"/>
    <cellStyle name="20% - Accent2 3 2 2 2 2 3" xfId="9099"/>
    <cellStyle name="20% - Accent2 3 2 2 2 2 4" xfId="15265"/>
    <cellStyle name="20% - Accent2 3 2 2 2 2 5" xfId="21393"/>
    <cellStyle name="20% - Accent2 3 2 2 2 3" xfId="2806"/>
    <cellStyle name="20% - Accent2 3 2 2 2 3 2" xfId="5944"/>
    <cellStyle name="20% - Accent2 3 2 2 2 3 2 2" xfId="12186"/>
    <cellStyle name="20% - Accent2 3 2 2 2 3 2 3" xfId="18341"/>
    <cellStyle name="20% - Accent2 3 2 2 2 3 2 4" xfId="24468"/>
    <cellStyle name="20% - Accent2 3 2 2 2 3 3" xfId="9098"/>
    <cellStyle name="20% - Accent2 3 2 2 2 3 4" xfId="15264"/>
    <cellStyle name="20% - Accent2 3 2 2 2 3 5" xfId="21392"/>
    <cellStyle name="20% - Accent2 3 2 2 2 4" xfId="5689"/>
    <cellStyle name="20% - Accent2 3 2 2 2 4 2" xfId="11931"/>
    <cellStyle name="20% - Accent2 3 2 2 2 4 3" xfId="18086"/>
    <cellStyle name="20% - Accent2 3 2 2 2 4 4" xfId="24213"/>
    <cellStyle name="20% - Accent2 3 2 2 2 5" xfId="8843"/>
    <cellStyle name="20% - Accent2 3 2 2 2 6" xfId="14249"/>
    <cellStyle name="20% - Accent2 3 2 2 2 7" xfId="21023"/>
    <cellStyle name="20% - Accent2 3 2 2 3" xfId="2201"/>
    <cellStyle name="20% - Accent2 3 2 2 3 2" xfId="2809"/>
    <cellStyle name="20% - Accent2 3 2 2 3 2 2" xfId="5947"/>
    <cellStyle name="20% - Accent2 3 2 2 3 2 2 2" xfId="12189"/>
    <cellStyle name="20% - Accent2 3 2 2 3 2 2 3" xfId="18344"/>
    <cellStyle name="20% - Accent2 3 2 2 3 2 2 4" xfId="24471"/>
    <cellStyle name="20% - Accent2 3 2 2 3 2 3" xfId="9101"/>
    <cellStyle name="20% - Accent2 3 2 2 3 2 4" xfId="15267"/>
    <cellStyle name="20% - Accent2 3 2 2 3 2 5" xfId="21395"/>
    <cellStyle name="20% - Accent2 3 2 2 3 3" xfId="2808"/>
    <cellStyle name="20% - Accent2 3 2 2 3 3 2" xfId="5946"/>
    <cellStyle name="20% - Accent2 3 2 2 3 3 2 2" xfId="12188"/>
    <cellStyle name="20% - Accent2 3 2 2 3 3 2 3" xfId="18343"/>
    <cellStyle name="20% - Accent2 3 2 2 3 3 2 4" xfId="24470"/>
    <cellStyle name="20% - Accent2 3 2 2 3 3 3" xfId="9100"/>
    <cellStyle name="20% - Accent2 3 2 2 3 3 4" xfId="15266"/>
    <cellStyle name="20% - Accent2 3 2 2 3 3 5" xfId="21394"/>
    <cellStyle name="20% - Accent2 3 2 2 3 4" xfId="5514"/>
    <cellStyle name="20% - Accent2 3 2 2 3 4 2" xfId="11756"/>
    <cellStyle name="20% - Accent2 3 2 2 3 4 3" xfId="17911"/>
    <cellStyle name="20% - Accent2 3 2 2 3 4 4" xfId="24038"/>
    <cellStyle name="20% - Accent2 3 2 2 3 5" xfId="8668"/>
    <cellStyle name="20% - Accent2 3 2 2 3 6" xfId="14250"/>
    <cellStyle name="20% - Accent2 3 2 2 3 7" xfId="20848"/>
    <cellStyle name="20% - Accent2 3 2 2 4" xfId="2810"/>
    <cellStyle name="20% - Accent2 3 2 2 4 2" xfId="5948"/>
    <cellStyle name="20% - Accent2 3 2 2 4 2 2" xfId="12190"/>
    <cellStyle name="20% - Accent2 3 2 2 4 2 3" xfId="18345"/>
    <cellStyle name="20% - Accent2 3 2 2 4 2 4" xfId="24472"/>
    <cellStyle name="20% - Accent2 3 2 2 4 3" xfId="9102"/>
    <cellStyle name="20% - Accent2 3 2 2 4 4" xfId="15268"/>
    <cellStyle name="20% - Accent2 3 2 2 4 5" xfId="21396"/>
    <cellStyle name="20% - Accent2 3 2 2 5" xfId="2811"/>
    <cellStyle name="20% - Accent2 3 2 2 5 2" xfId="5949"/>
    <cellStyle name="20% - Accent2 3 2 2 5 2 2" xfId="12191"/>
    <cellStyle name="20% - Accent2 3 2 2 5 2 3" xfId="18346"/>
    <cellStyle name="20% - Accent2 3 2 2 5 2 4" xfId="24473"/>
    <cellStyle name="20% - Accent2 3 2 2 5 3" xfId="9103"/>
    <cellStyle name="20% - Accent2 3 2 2 5 4" xfId="15269"/>
    <cellStyle name="20% - Accent2 3 2 2 5 5" xfId="21397"/>
    <cellStyle name="20% - Accent2 3 2 2 6" xfId="2805"/>
    <cellStyle name="20% - Accent2 3 2 2 6 2" xfId="5943"/>
    <cellStyle name="20% - Accent2 3 2 2 6 2 2" xfId="12185"/>
    <cellStyle name="20% - Accent2 3 2 2 6 2 3" xfId="18340"/>
    <cellStyle name="20% - Accent2 3 2 2 6 2 4" xfId="24467"/>
    <cellStyle name="20% - Accent2 3 2 2 6 3" xfId="9097"/>
    <cellStyle name="20% - Accent2 3 2 2 6 4" xfId="15263"/>
    <cellStyle name="20% - Accent2 3 2 2 6 5" xfId="21391"/>
    <cellStyle name="20% - Accent2 3 2 2 7" xfId="5332"/>
    <cellStyle name="20% - Accent2 3 2 2 7 2" xfId="11574"/>
    <cellStyle name="20% - Accent2 3 2 2 7 3" xfId="17729"/>
    <cellStyle name="20% - Accent2 3 2 2 7 4" xfId="23856"/>
    <cellStyle name="20% - Accent2 3 2 2 8" xfId="8487"/>
    <cellStyle name="20% - Accent2 3 2 2 9" xfId="14248"/>
    <cellStyle name="20% - Accent2 3 2 3" xfId="2293"/>
    <cellStyle name="20% - Accent2 3 2 3 2" xfId="2813"/>
    <cellStyle name="20% - Accent2 3 2 3 2 2" xfId="5951"/>
    <cellStyle name="20% - Accent2 3 2 3 2 2 2" xfId="12193"/>
    <cellStyle name="20% - Accent2 3 2 3 2 2 3" xfId="18348"/>
    <cellStyle name="20% - Accent2 3 2 3 2 2 4" xfId="24475"/>
    <cellStyle name="20% - Accent2 3 2 3 2 3" xfId="9105"/>
    <cellStyle name="20% - Accent2 3 2 3 2 4" xfId="15271"/>
    <cellStyle name="20% - Accent2 3 2 3 2 5" xfId="21399"/>
    <cellStyle name="20% - Accent2 3 2 3 3" xfId="2812"/>
    <cellStyle name="20% - Accent2 3 2 3 3 2" xfId="5950"/>
    <cellStyle name="20% - Accent2 3 2 3 3 2 2" xfId="12192"/>
    <cellStyle name="20% - Accent2 3 2 3 3 2 3" xfId="18347"/>
    <cellStyle name="20% - Accent2 3 2 3 3 2 4" xfId="24474"/>
    <cellStyle name="20% - Accent2 3 2 3 3 3" xfId="9104"/>
    <cellStyle name="20% - Accent2 3 2 3 3 4" xfId="15270"/>
    <cellStyle name="20% - Accent2 3 2 3 3 5" xfId="21398"/>
    <cellStyle name="20% - Accent2 3 2 3 4" xfId="5606"/>
    <cellStyle name="20% - Accent2 3 2 3 4 2" xfId="11848"/>
    <cellStyle name="20% - Accent2 3 2 3 4 3" xfId="18003"/>
    <cellStyle name="20% - Accent2 3 2 3 4 4" xfId="24130"/>
    <cellStyle name="20% - Accent2 3 2 3 5" xfId="8760"/>
    <cellStyle name="20% - Accent2 3 2 3 6" xfId="14251"/>
    <cellStyle name="20% - Accent2 3 2 3 7" xfId="20940"/>
    <cellStyle name="20% - Accent2 3 2 4" xfId="2126"/>
    <cellStyle name="20% - Accent2 3 2 4 2" xfId="2815"/>
    <cellStyle name="20% - Accent2 3 2 4 2 2" xfId="5953"/>
    <cellStyle name="20% - Accent2 3 2 4 2 2 2" xfId="12195"/>
    <cellStyle name="20% - Accent2 3 2 4 2 2 3" xfId="18350"/>
    <cellStyle name="20% - Accent2 3 2 4 2 2 4" xfId="24477"/>
    <cellStyle name="20% - Accent2 3 2 4 2 3" xfId="9107"/>
    <cellStyle name="20% - Accent2 3 2 4 2 4" xfId="15273"/>
    <cellStyle name="20% - Accent2 3 2 4 2 5" xfId="21401"/>
    <cellStyle name="20% - Accent2 3 2 4 3" xfId="2814"/>
    <cellStyle name="20% - Accent2 3 2 4 3 2" xfId="5952"/>
    <cellStyle name="20% - Accent2 3 2 4 3 2 2" xfId="12194"/>
    <cellStyle name="20% - Accent2 3 2 4 3 2 3" xfId="18349"/>
    <cellStyle name="20% - Accent2 3 2 4 3 2 4" xfId="24476"/>
    <cellStyle name="20% - Accent2 3 2 4 3 3" xfId="9106"/>
    <cellStyle name="20% - Accent2 3 2 4 3 4" xfId="15272"/>
    <cellStyle name="20% - Accent2 3 2 4 3 5" xfId="21400"/>
    <cellStyle name="20% - Accent2 3 2 4 4" xfId="5439"/>
    <cellStyle name="20% - Accent2 3 2 4 4 2" xfId="11681"/>
    <cellStyle name="20% - Accent2 3 2 4 4 3" xfId="17836"/>
    <cellStyle name="20% - Accent2 3 2 4 4 4" xfId="23963"/>
    <cellStyle name="20% - Accent2 3 2 4 5" xfId="8593"/>
    <cellStyle name="20% - Accent2 3 2 4 6" xfId="14252"/>
    <cellStyle name="20% - Accent2 3 2 4 7" xfId="20773"/>
    <cellStyle name="20% - Accent2 3 2 5" xfId="763"/>
    <cellStyle name="20% - Accent2 3 2 5 2" xfId="2817"/>
    <cellStyle name="20% - Accent2 3 2 5 2 2" xfId="5955"/>
    <cellStyle name="20% - Accent2 3 2 5 2 2 2" xfId="12197"/>
    <cellStyle name="20% - Accent2 3 2 5 2 2 3" xfId="18352"/>
    <cellStyle name="20% - Accent2 3 2 5 2 2 4" xfId="24479"/>
    <cellStyle name="20% - Accent2 3 2 5 2 3" xfId="9109"/>
    <cellStyle name="20% - Accent2 3 2 5 2 4" xfId="15275"/>
    <cellStyle name="20% - Accent2 3 2 5 2 5" xfId="21403"/>
    <cellStyle name="20% - Accent2 3 2 5 3" xfId="2816"/>
    <cellStyle name="20% - Accent2 3 2 5 3 2" xfId="5954"/>
    <cellStyle name="20% - Accent2 3 2 5 3 2 2" xfId="12196"/>
    <cellStyle name="20% - Accent2 3 2 5 3 2 3" xfId="18351"/>
    <cellStyle name="20% - Accent2 3 2 5 3 2 4" xfId="24478"/>
    <cellStyle name="20% - Accent2 3 2 5 3 3" xfId="9108"/>
    <cellStyle name="20% - Accent2 3 2 5 3 4" xfId="15274"/>
    <cellStyle name="20% - Accent2 3 2 5 3 5" xfId="21402"/>
    <cellStyle name="20% - Accent2 3 2 5 4" xfId="5112"/>
    <cellStyle name="20% - Accent2 3 2 5 4 2" xfId="11355"/>
    <cellStyle name="20% - Accent2 3 2 5 4 3" xfId="17510"/>
    <cellStyle name="20% - Accent2 3 2 5 4 4" xfId="23637"/>
    <cellStyle name="20% - Accent2 3 2 5 5" xfId="8269"/>
    <cellStyle name="20% - Accent2 3 2 5 6" xfId="14253"/>
    <cellStyle name="20% - Accent2 3 2 5 7" xfId="20452"/>
    <cellStyle name="20% - Accent2 3 2 6" xfId="210"/>
    <cellStyle name="20% - Accent2 3 2 6 2" xfId="2819"/>
    <cellStyle name="20% - Accent2 3 2 6 2 2" xfId="5957"/>
    <cellStyle name="20% - Accent2 3 2 6 2 2 2" xfId="12199"/>
    <cellStyle name="20% - Accent2 3 2 6 2 2 3" xfId="18354"/>
    <cellStyle name="20% - Accent2 3 2 6 2 2 4" xfId="24481"/>
    <cellStyle name="20% - Accent2 3 2 6 2 3" xfId="9111"/>
    <cellStyle name="20% - Accent2 3 2 6 2 4" xfId="15277"/>
    <cellStyle name="20% - Accent2 3 2 6 2 5" xfId="21405"/>
    <cellStyle name="20% - Accent2 3 2 6 3" xfId="2818"/>
    <cellStyle name="20% - Accent2 3 2 6 3 2" xfId="5956"/>
    <cellStyle name="20% - Accent2 3 2 6 3 2 2" xfId="12198"/>
    <cellStyle name="20% - Accent2 3 2 6 3 2 3" xfId="18353"/>
    <cellStyle name="20% - Accent2 3 2 6 3 2 4" xfId="24480"/>
    <cellStyle name="20% - Accent2 3 2 6 3 3" xfId="9110"/>
    <cellStyle name="20% - Accent2 3 2 6 3 4" xfId="15276"/>
    <cellStyle name="20% - Accent2 3 2 6 3 5" xfId="21404"/>
    <cellStyle name="20% - Accent2 3 2 6 4" xfId="4990"/>
    <cellStyle name="20% - Accent2 3 2 6 4 2" xfId="11233"/>
    <cellStyle name="20% - Accent2 3 2 6 4 3" xfId="17388"/>
    <cellStyle name="20% - Accent2 3 2 6 4 4" xfId="23515"/>
    <cellStyle name="20% - Accent2 3 2 6 5" xfId="8148"/>
    <cellStyle name="20% - Accent2 3 2 6 6" xfId="14254"/>
    <cellStyle name="20% - Accent2 3 2 6 7" xfId="21144"/>
    <cellStyle name="20% - Accent2 3 2 7" xfId="2820"/>
    <cellStyle name="20% - Accent2 3 2 7 2" xfId="5958"/>
    <cellStyle name="20% - Accent2 3 2 7 2 2" xfId="12200"/>
    <cellStyle name="20% - Accent2 3 2 7 2 3" xfId="18355"/>
    <cellStyle name="20% - Accent2 3 2 7 2 4" xfId="24482"/>
    <cellStyle name="20% - Accent2 3 2 7 3" xfId="9112"/>
    <cellStyle name="20% - Accent2 3 2 7 4" xfId="15278"/>
    <cellStyle name="20% - Accent2 3 2 7 5" xfId="21406"/>
    <cellStyle name="20% - Accent2 3 2 8" xfId="2821"/>
    <cellStyle name="20% - Accent2 3 2 8 2" xfId="5959"/>
    <cellStyle name="20% - Accent2 3 2 8 2 2" xfId="12201"/>
    <cellStyle name="20% - Accent2 3 2 8 2 3" xfId="18356"/>
    <cellStyle name="20% - Accent2 3 2 8 2 4" xfId="24483"/>
    <cellStyle name="20% - Accent2 3 2 8 3" xfId="9113"/>
    <cellStyle name="20% - Accent2 3 2 8 4" xfId="15279"/>
    <cellStyle name="20% - Accent2 3 2 8 5" xfId="21407"/>
    <cellStyle name="20% - Accent2 3 2 9" xfId="2804"/>
    <cellStyle name="20% - Accent2 3 2 9 2" xfId="5942"/>
    <cellStyle name="20% - Accent2 3 2 9 2 2" xfId="12184"/>
    <cellStyle name="20% - Accent2 3 2 9 2 3" xfId="18339"/>
    <cellStyle name="20% - Accent2 3 2 9 2 4" xfId="24466"/>
    <cellStyle name="20% - Accent2 3 2 9 3" xfId="9096"/>
    <cellStyle name="20% - Accent2 3 2 9 4" xfId="15262"/>
    <cellStyle name="20% - Accent2 3 2 9 5" xfId="21390"/>
    <cellStyle name="20% - Accent2 3 3" xfId="1989"/>
    <cellStyle name="20% - Accent2 3 3 10" xfId="20666"/>
    <cellStyle name="20% - Accent2 3 3 2" xfId="2375"/>
    <cellStyle name="20% - Accent2 3 3 2 2" xfId="2824"/>
    <cellStyle name="20% - Accent2 3 3 2 2 2" xfId="5962"/>
    <cellStyle name="20% - Accent2 3 3 2 2 2 2" xfId="12204"/>
    <cellStyle name="20% - Accent2 3 3 2 2 2 3" xfId="18359"/>
    <cellStyle name="20% - Accent2 3 3 2 2 2 4" xfId="24486"/>
    <cellStyle name="20% - Accent2 3 3 2 2 3" xfId="9116"/>
    <cellStyle name="20% - Accent2 3 3 2 2 4" xfId="15282"/>
    <cellStyle name="20% - Accent2 3 3 2 2 5" xfId="21410"/>
    <cellStyle name="20% - Accent2 3 3 2 3" xfId="2823"/>
    <cellStyle name="20% - Accent2 3 3 2 3 2" xfId="5961"/>
    <cellStyle name="20% - Accent2 3 3 2 3 2 2" xfId="12203"/>
    <cellStyle name="20% - Accent2 3 3 2 3 2 3" xfId="18358"/>
    <cellStyle name="20% - Accent2 3 3 2 3 2 4" xfId="24485"/>
    <cellStyle name="20% - Accent2 3 3 2 3 3" xfId="9115"/>
    <cellStyle name="20% - Accent2 3 3 2 3 4" xfId="15281"/>
    <cellStyle name="20% - Accent2 3 3 2 3 5" xfId="21409"/>
    <cellStyle name="20% - Accent2 3 3 2 4" xfId="5688"/>
    <cellStyle name="20% - Accent2 3 3 2 4 2" xfId="11930"/>
    <cellStyle name="20% - Accent2 3 3 2 4 3" xfId="18085"/>
    <cellStyle name="20% - Accent2 3 3 2 4 4" xfId="24212"/>
    <cellStyle name="20% - Accent2 3 3 2 5" xfId="8842"/>
    <cellStyle name="20% - Accent2 3 3 2 6" xfId="14256"/>
    <cellStyle name="20% - Accent2 3 3 2 7" xfId="21022"/>
    <cellStyle name="20% - Accent2 3 3 3" xfId="2200"/>
    <cellStyle name="20% - Accent2 3 3 3 2" xfId="2826"/>
    <cellStyle name="20% - Accent2 3 3 3 2 2" xfId="5964"/>
    <cellStyle name="20% - Accent2 3 3 3 2 2 2" xfId="12206"/>
    <cellStyle name="20% - Accent2 3 3 3 2 2 3" xfId="18361"/>
    <cellStyle name="20% - Accent2 3 3 3 2 2 4" xfId="24488"/>
    <cellStyle name="20% - Accent2 3 3 3 2 3" xfId="9118"/>
    <cellStyle name="20% - Accent2 3 3 3 2 4" xfId="15284"/>
    <cellStyle name="20% - Accent2 3 3 3 2 5" xfId="21412"/>
    <cellStyle name="20% - Accent2 3 3 3 3" xfId="2825"/>
    <cellStyle name="20% - Accent2 3 3 3 3 2" xfId="5963"/>
    <cellStyle name="20% - Accent2 3 3 3 3 2 2" xfId="12205"/>
    <cellStyle name="20% - Accent2 3 3 3 3 2 3" xfId="18360"/>
    <cellStyle name="20% - Accent2 3 3 3 3 2 4" xfId="24487"/>
    <cellStyle name="20% - Accent2 3 3 3 3 3" xfId="9117"/>
    <cellStyle name="20% - Accent2 3 3 3 3 4" xfId="15283"/>
    <cellStyle name="20% - Accent2 3 3 3 3 5" xfId="21411"/>
    <cellStyle name="20% - Accent2 3 3 3 4" xfId="5513"/>
    <cellStyle name="20% - Accent2 3 3 3 4 2" xfId="11755"/>
    <cellStyle name="20% - Accent2 3 3 3 4 3" xfId="17910"/>
    <cellStyle name="20% - Accent2 3 3 3 4 4" xfId="24037"/>
    <cellStyle name="20% - Accent2 3 3 3 5" xfId="8667"/>
    <cellStyle name="20% - Accent2 3 3 3 6" xfId="14257"/>
    <cellStyle name="20% - Accent2 3 3 3 7" xfId="20847"/>
    <cellStyle name="20% - Accent2 3 3 4" xfId="2827"/>
    <cellStyle name="20% - Accent2 3 3 4 2" xfId="5965"/>
    <cellStyle name="20% - Accent2 3 3 4 2 2" xfId="12207"/>
    <cellStyle name="20% - Accent2 3 3 4 2 3" xfId="18362"/>
    <cellStyle name="20% - Accent2 3 3 4 2 4" xfId="24489"/>
    <cellStyle name="20% - Accent2 3 3 4 3" xfId="9119"/>
    <cellStyle name="20% - Accent2 3 3 4 4" xfId="15285"/>
    <cellStyle name="20% - Accent2 3 3 4 5" xfId="21413"/>
    <cellStyle name="20% - Accent2 3 3 5" xfId="2828"/>
    <cellStyle name="20% - Accent2 3 3 5 2" xfId="5966"/>
    <cellStyle name="20% - Accent2 3 3 5 2 2" xfId="12208"/>
    <cellStyle name="20% - Accent2 3 3 5 2 3" xfId="18363"/>
    <cellStyle name="20% - Accent2 3 3 5 2 4" xfId="24490"/>
    <cellStyle name="20% - Accent2 3 3 5 3" xfId="9120"/>
    <cellStyle name="20% - Accent2 3 3 5 4" xfId="15286"/>
    <cellStyle name="20% - Accent2 3 3 5 5" xfId="21414"/>
    <cellStyle name="20% - Accent2 3 3 6" xfId="2822"/>
    <cellStyle name="20% - Accent2 3 3 6 2" xfId="5960"/>
    <cellStyle name="20% - Accent2 3 3 6 2 2" xfId="12202"/>
    <cellStyle name="20% - Accent2 3 3 6 2 3" xfId="18357"/>
    <cellStyle name="20% - Accent2 3 3 6 2 4" xfId="24484"/>
    <cellStyle name="20% - Accent2 3 3 6 3" xfId="9114"/>
    <cellStyle name="20% - Accent2 3 3 6 4" xfId="15280"/>
    <cellStyle name="20% - Accent2 3 3 6 5" xfId="21408"/>
    <cellStyle name="20% - Accent2 3 3 7" xfId="5331"/>
    <cellStyle name="20% - Accent2 3 3 7 2" xfId="11573"/>
    <cellStyle name="20% - Accent2 3 3 7 3" xfId="17728"/>
    <cellStyle name="20% - Accent2 3 3 7 4" xfId="23855"/>
    <cellStyle name="20% - Accent2 3 3 8" xfId="8486"/>
    <cellStyle name="20% - Accent2 3 3 9" xfId="14255"/>
    <cellStyle name="20% - Accent2 3 4" xfId="2292"/>
    <cellStyle name="20% - Accent2 3 4 2" xfId="2830"/>
    <cellStyle name="20% - Accent2 3 4 2 2" xfId="5968"/>
    <cellStyle name="20% - Accent2 3 4 2 2 2" xfId="12210"/>
    <cellStyle name="20% - Accent2 3 4 2 2 3" xfId="18365"/>
    <cellStyle name="20% - Accent2 3 4 2 2 4" xfId="24492"/>
    <cellStyle name="20% - Accent2 3 4 2 3" xfId="9122"/>
    <cellStyle name="20% - Accent2 3 4 2 4" xfId="15288"/>
    <cellStyle name="20% - Accent2 3 4 2 5" xfId="21416"/>
    <cellStyle name="20% - Accent2 3 4 3" xfId="2829"/>
    <cellStyle name="20% - Accent2 3 4 3 2" xfId="5967"/>
    <cellStyle name="20% - Accent2 3 4 3 2 2" xfId="12209"/>
    <cellStyle name="20% - Accent2 3 4 3 2 3" xfId="18364"/>
    <cellStyle name="20% - Accent2 3 4 3 2 4" xfId="24491"/>
    <cellStyle name="20% - Accent2 3 4 3 3" xfId="9121"/>
    <cellStyle name="20% - Accent2 3 4 3 4" xfId="15287"/>
    <cellStyle name="20% - Accent2 3 4 3 5" xfId="21415"/>
    <cellStyle name="20% - Accent2 3 4 4" xfId="5605"/>
    <cellStyle name="20% - Accent2 3 4 4 2" xfId="11847"/>
    <cellStyle name="20% - Accent2 3 4 4 3" xfId="18002"/>
    <cellStyle name="20% - Accent2 3 4 4 4" xfId="24129"/>
    <cellStyle name="20% - Accent2 3 4 5" xfId="8759"/>
    <cellStyle name="20% - Accent2 3 4 6" xfId="14258"/>
    <cellStyle name="20% - Accent2 3 4 7" xfId="20939"/>
    <cellStyle name="20% - Accent2 3 5" xfId="2125"/>
    <cellStyle name="20% - Accent2 3 5 2" xfId="2832"/>
    <cellStyle name="20% - Accent2 3 5 2 2" xfId="5970"/>
    <cellStyle name="20% - Accent2 3 5 2 2 2" xfId="12212"/>
    <cellStyle name="20% - Accent2 3 5 2 2 3" xfId="18367"/>
    <cellStyle name="20% - Accent2 3 5 2 2 4" xfId="24494"/>
    <cellStyle name="20% - Accent2 3 5 2 3" xfId="9124"/>
    <cellStyle name="20% - Accent2 3 5 2 4" xfId="15290"/>
    <cellStyle name="20% - Accent2 3 5 2 5" xfId="21418"/>
    <cellStyle name="20% - Accent2 3 5 3" xfId="2831"/>
    <cellStyle name="20% - Accent2 3 5 3 2" xfId="5969"/>
    <cellStyle name="20% - Accent2 3 5 3 2 2" xfId="12211"/>
    <cellStyle name="20% - Accent2 3 5 3 2 3" xfId="18366"/>
    <cellStyle name="20% - Accent2 3 5 3 2 4" xfId="24493"/>
    <cellStyle name="20% - Accent2 3 5 3 3" xfId="9123"/>
    <cellStyle name="20% - Accent2 3 5 3 4" xfId="15289"/>
    <cellStyle name="20% - Accent2 3 5 3 5" xfId="21417"/>
    <cellStyle name="20% - Accent2 3 5 4" xfId="5438"/>
    <cellStyle name="20% - Accent2 3 5 4 2" xfId="11680"/>
    <cellStyle name="20% - Accent2 3 5 4 3" xfId="17835"/>
    <cellStyle name="20% - Accent2 3 5 4 4" xfId="23962"/>
    <cellStyle name="20% - Accent2 3 5 5" xfId="8592"/>
    <cellStyle name="20% - Accent2 3 5 6" xfId="14259"/>
    <cellStyle name="20% - Accent2 3 5 7" xfId="20772"/>
    <cellStyle name="20% - Accent2 3 6" xfId="762"/>
    <cellStyle name="20% - Accent2 3 6 2" xfId="2834"/>
    <cellStyle name="20% - Accent2 3 6 2 2" xfId="5972"/>
    <cellStyle name="20% - Accent2 3 6 2 2 2" xfId="12214"/>
    <cellStyle name="20% - Accent2 3 6 2 2 3" xfId="18369"/>
    <cellStyle name="20% - Accent2 3 6 2 2 4" xfId="24496"/>
    <cellStyle name="20% - Accent2 3 6 2 3" xfId="9126"/>
    <cellStyle name="20% - Accent2 3 6 2 4" xfId="15292"/>
    <cellStyle name="20% - Accent2 3 6 2 5" xfId="21420"/>
    <cellStyle name="20% - Accent2 3 6 3" xfId="2833"/>
    <cellStyle name="20% - Accent2 3 6 3 2" xfId="5971"/>
    <cellStyle name="20% - Accent2 3 6 3 2 2" xfId="12213"/>
    <cellStyle name="20% - Accent2 3 6 3 2 3" xfId="18368"/>
    <cellStyle name="20% - Accent2 3 6 3 2 4" xfId="24495"/>
    <cellStyle name="20% - Accent2 3 6 3 3" xfId="9125"/>
    <cellStyle name="20% - Accent2 3 6 3 4" xfId="15291"/>
    <cellStyle name="20% - Accent2 3 6 3 5" xfId="21419"/>
    <cellStyle name="20% - Accent2 3 6 4" xfId="5111"/>
    <cellStyle name="20% - Accent2 3 6 4 2" xfId="11354"/>
    <cellStyle name="20% - Accent2 3 6 4 3" xfId="17509"/>
    <cellStyle name="20% - Accent2 3 6 4 4" xfId="23636"/>
    <cellStyle name="20% - Accent2 3 6 5" xfId="8268"/>
    <cellStyle name="20% - Accent2 3 6 6" xfId="14260"/>
    <cellStyle name="20% - Accent2 3 6 7" xfId="20451"/>
    <cellStyle name="20% - Accent2 3 7" xfId="209"/>
    <cellStyle name="20% - Accent2 3 7 2" xfId="2836"/>
    <cellStyle name="20% - Accent2 3 7 2 2" xfId="5974"/>
    <cellStyle name="20% - Accent2 3 7 2 2 2" xfId="12216"/>
    <cellStyle name="20% - Accent2 3 7 2 2 3" xfId="18371"/>
    <cellStyle name="20% - Accent2 3 7 2 2 4" xfId="24498"/>
    <cellStyle name="20% - Accent2 3 7 2 3" xfId="9128"/>
    <cellStyle name="20% - Accent2 3 7 2 4" xfId="15294"/>
    <cellStyle name="20% - Accent2 3 7 2 5" xfId="21422"/>
    <cellStyle name="20% - Accent2 3 7 3" xfId="2835"/>
    <cellStyle name="20% - Accent2 3 7 3 2" xfId="5973"/>
    <cellStyle name="20% - Accent2 3 7 3 2 2" xfId="12215"/>
    <cellStyle name="20% - Accent2 3 7 3 2 3" xfId="18370"/>
    <cellStyle name="20% - Accent2 3 7 3 2 4" xfId="24497"/>
    <cellStyle name="20% - Accent2 3 7 3 3" xfId="9127"/>
    <cellStyle name="20% - Accent2 3 7 3 4" xfId="15293"/>
    <cellStyle name="20% - Accent2 3 7 3 5" xfId="21421"/>
    <cellStyle name="20% - Accent2 3 7 4" xfId="4989"/>
    <cellStyle name="20% - Accent2 3 7 4 2" xfId="11232"/>
    <cellStyle name="20% - Accent2 3 7 4 3" xfId="17387"/>
    <cellStyle name="20% - Accent2 3 7 4 4" xfId="23514"/>
    <cellStyle name="20% - Accent2 3 7 5" xfId="8147"/>
    <cellStyle name="20% - Accent2 3 7 6" xfId="14261"/>
    <cellStyle name="20% - Accent2 3 7 7" xfId="21143"/>
    <cellStyle name="20% - Accent2 3 8" xfId="2837"/>
    <cellStyle name="20% - Accent2 3 8 2" xfId="5975"/>
    <cellStyle name="20% - Accent2 3 8 2 2" xfId="12217"/>
    <cellStyle name="20% - Accent2 3 8 2 3" xfId="18372"/>
    <cellStyle name="20% - Accent2 3 8 2 4" xfId="24499"/>
    <cellStyle name="20% - Accent2 3 8 3" xfId="9129"/>
    <cellStyle name="20% - Accent2 3 8 4" xfId="15295"/>
    <cellStyle name="20% - Accent2 3 8 5" xfId="21423"/>
    <cellStyle name="20% - Accent2 3 9" xfId="2838"/>
    <cellStyle name="20% - Accent2 3 9 2" xfId="5976"/>
    <cellStyle name="20% - Accent2 3 9 2 2" xfId="12218"/>
    <cellStyle name="20% - Accent2 3 9 2 3" xfId="18373"/>
    <cellStyle name="20% - Accent2 3 9 2 4" xfId="24500"/>
    <cellStyle name="20% - Accent2 3 9 3" xfId="9130"/>
    <cellStyle name="20% - Accent2 3 9 4" xfId="15296"/>
    <cellStyle name="20% - Accent2 3 9 5" xfId="21424"/>
    <cellStyle name="20% - Accent2 4" xfId="42"/>
    <cellStyle name="20% - Accent2 4 2" xfId="43"/>
    <cellStyle name="20% - Accent2 4 2 10" xfId="4899"/>
    <cellStyle name="20% - Accent2 4 2 10 2" xfId="11143"/>
    <cellStyle name="20% - Accent2 4 2 10 3" xfId="17298"/>
    <cellStyle name="20% - Accent2 4 2 10 4" xfId="23425"/>
    <cellStyle name="20% - Accent2 4 2 11" xfId="8057"/>
    <cellStyle name="20% - Accent2 4 2 12" xfId="14262"/>
    <cellStyle name="20% - Accent2 4 2 13" xfId="20337"/>
    <cellStyle name="20% - Accent2 4 2 2" xfId="1991"/>
    <cellStyle name="20% - Accent2 4 2 2 10" xfId="20668"/>
    <cellStyle name="20% - Accent2 4 2 2 2" xfId="2377"/>
    <cellStyle name="20% - Accent2 4 2 2 2 2" xfId="2842"/>
    <cellStyle name="20% - Accent2 4 2 2 2 2 2" xfId="5980"/>
    <cellStyle name="20% - Accent2 4 2 2 2 2 2 2" xfId="12222"/>
    <cellStyle name="20% - Accent2 4 2 2 2 2 2 3" xfId="18377"/>
    <cellStyle name="20% - Accent2 4 2 2 2 2 2 4" xfId="24504"/>
    <cellStyle name="20% - Accent2 4 2 2 2 2 3" xfId="9134"/>
    <cellStyle name="20% - Accent2 4 2 2 2 2 4" xfId="15300"/>
    <cellStyle name="20% - Accent2 4 2 2 2 2 5" xfId="21428"/>
    <cellStyle name="20% - Accent2 4 2 2 2 3" xfId="2841"/>
    <cellStyle name="20% - Accent2 4 2 2 2 3 2" xfId="5979"/>
    <cellStyle name="20% - Accent2 4 2 2 2 3 2 2" xfId="12221"/>
    <cellStyle name="20% - Accent2 4 2 2 2 3 2 3" xfId="18376"/>
    <cellStyle name="20% - Accent2 4 2 2 2 3 2 4" xfId="24503"/>
    <cellStyle name="20% - Accent2 4 2 2 2 3 3" xfId="9133"/>
    <cellStyle name="20% - Accent2 4 2 2 2 3 4" xfId="15299"/>
    <cellStyle name="20% - Accent2 4 2 2 2 3 5" xfId="21427"/>
    <cellStyle name="20% - Accent2 4 2 2 2 4" xfId="5690"/>
    <cellStyle name="20% - Accent2 4 2 2 2 4 2" xfId="11932"/>
    <cellStyle name="20% - Accent2 4 2 2 2 4 3" xfId="18087"/>
    <cellStyle name="20% - Accent2 4 2 2 2 4 4" xfId="24214"/>
    <cellStyle name="20% - Accent2 4 2 2 2 5" xfId="8844"/>
    <cellStyle name="20% - Accent2 4 2 2 2 6" xfId="14264"/>
    <cellStyle name="20% - Accent2 4 2 2 2 7" xfId="21024"/>
    <cellStyle name="20% - Accent2 4 2 2 3" xfId="2202"/>
    <cellStyle name="20% - Accent2 4 2 2 3 2" xfId="2844"/>
    <cellStyle name="20% - Accent2 4 2 2 3 2 2" xfId="5982"/>
    <cellStyle name="20% - Accent2 4 2 2 3 2 2 2" xfId="12224"/>
    <cellStyle name="20% - Accent2 4 2 2 3 2 2 3" xfId="18379"/>
    <cellStyle name="20% - Accent2 4 2 2 3 2 2 4" xfId="24506"/>
    <cellStyle name="20% - Accent2 4 2 2 3 2 3" xfId="9136"/>
    <cellStyle name="20% - Accent2 4 2 2 3 2 4" xfId="15302"/>
    <cellStyle name="20% - Accent2 4 2 2 3 2 5" xfId="21430"/>
    <cellStyle name="20% - Accent2 4 2 2 3 3" xfId="2843"/>
    <cellStyle name="20% - Accent2 4 2 2 3 3 2" xfId="5981"/>
    <cellStyle name="20% - Accent2 4 2 2 3 3 2 2" xfId="12223"/>
    <cellStyle name="20% - Accent2 4 2 2 3 3 2 3" xfId="18378"/>
    <cellStyle name="20% - Accent2 4 2 2 3 3 2 4" xfId="24505"/>
    <cellStyle name="20% - Accent2 4 2 2 3 3 3" xfId="9135"/>
    <cellStyle name="20% - Accent2 4 2 2 3 3 4" xfId="15301"/>
    <cellStyle name="20% - Accent2 4 2 2 3 3 5" xfId="21429"/>
    <cellStyle name="20% - Accent2 4 2 2 3 4" xfId="5515"/>
    <cellStyle name="20% - Accent2 4 2 2 3 4 2" xfId="11757"/>
    <cellStyle name="20% - Accent2 4 2 2 3 4 3" xfId="17912"/>
    <cellStyle name="20% - Accent2 4 2 2 3 4 4" xfId="24039"/>
    <cellStyle name="20% - Accent2 4 2 2 3 5" xfId="8669"/>
    <cellStyle name="20% - Accent2 4 2 2 3 6" xfId="14265"/>
    <cellStyle name="20% - Accent2 4 2 2 3 7" xfId="20849"/>
    <cellStyle name="20% - Accent2 4 2 2 4" xfId="2845"/>
    <cellStyle name="20% - Accent2 4 2 2 4 2" xfId="5983"/>
    <cellStyle name="20% - Accent2 4 2 2 4 2 2" xfId="12225"/>
    <cellStyle name="20% - Accent2 4 2 2 4 2 3" xfId="18380"/>
    <cellStyle name="20% - Accent2 4 2 2 4 2 4" xfId="24507"/>
    <cellStyle name="20% - Accent2 4 2 2 4 3" xfId="9137"/>
    <cellStyle name="20% - Accent2 4 2 2 4 4" xfId="15303"/>
    <cellStyle name="20% - Accent2 4 2 2 4 5" xfId="21431"/>
    <cellStyle name="20% - Accent2 4 2 2 5" xfId="2846"/>
    <cellStyle name="20% - Accent2 4 2 2 5 2" xfId="5984"/>
    <cellStyle name="20% - Accent2 4 2 2 5 2 2" xfId="12226"/>
    <cellStyle name="20% - Accent2 4 2 2 5 2 3" xfId="18381"/>
    <cellStyle name="20% - Accent2 4 2 2 5 2 4" xfId="24508"/>
    <cellStyle name="20% - Accent2 4 2 2 5 3" xfId="9138"/>
    <cellStyle name="20% - Accent2 4 2 2 5 4" xfId="15304"/>
    <cellStyle name="20% - Accent2 4 2 2 5 5" xfId="21432"/>
    <cellStyle name="20% - Accent2 4 2 2 6" xfId="2840"/>
    <cellStyle name="20% - Accent2 4 2 2 6 2" xfId="5978"/>
    <cellStyle name="20% - Accent2 4 2 2 6 2 2" xfId="12220"/>
    <cellStyle name="20% - Accent2 4 2 2 6 2 3" xfId="18375"/>
    <cellStyle name="20% - Accent2 4 2 2 6 2 4" xfId="24502"/>
    <cellStyle name="20% - Accent2 4 2 2 6 3" xfId="9132"/>
    <cellStyle name="20% - Accent2 4 2 2 6 4" xfId="15298"/>
    <cellStyle name="20% - Accent2 4 2 2 6 5" xfId="21426"/>
    <cellStyle name="20% - Accent2 4 2 2 7" xfId="5333"/>
    <cellStyle name="20% - Accent2 4 2 2 7 2" xfId="11575"/>
    <cellStyle name="20% - Accent2 4 2 2 7 3" xfId="17730"/>
    <cellStyle name="20% - Accent2 4 2 2 7 4" xfId="23857"/>
    <cellStyle name="20% - Accent2 4 2 2 8" xfId="8488"/>
    <cellStyle name="20% - Accent2 4 2 2 9" xfId="14263"/>
    <cellStyle name="20% - Accent2 4 2 3" xfId="2294"/>
    <cellStyle name="20% - Accent2 4 2 3 2" xfId="2848"/>
    <cellStyle name="20% - Accent2 4 2 3 2 2" xfId="5986"/>
    <cellStyle name="20% - Accent2 4 2 3 2 2 2" xfId="12228"/>
    <cellStyle name="20% - Accent2 4 2 3 2 2 3" xfId="18383"/>
    <cellStyle name="20% - Accent2 4 2 3 2 2 4" xfId="24510"/>
    <cellStyle name="20% - Accent2 4 2 3 2 3" xfId="9140"/>
    <cellStyle name="20% - Accent2 4 2 3 2 4" xfId="15306"/>
    <cellStyle name="20% - Accent2 4 2 3 2 5" xfId="21434"/>
    <cellStyle name="20% - Accent2 4 2 3 3" xfId="2847"/>
    <cellStyle name="20% - Accent2 4 2 3 3 2" xfId="5985"/>
    <cellStyle name="20% - Accent2 4 2 3 3 2 2" xfId="12227"/>
    <cellStyle name="20% - Accent2 4 2 3 3 2 3" xfId="18382"/>
    <cellStyle name="20% - Accent2 4 2 3 3 2 4" xfId="24509"/>
    <cellStyle name="20% - Accent2 4 2 3 3 3" xfId="9139"/>
    <cellStyle name="20% - Accent2 4 2 3 3 4" xfId="15305"/>
    <cellStyle name="20% - Accent2 4 2 3 3 5" xfId="21433"/>
    <cellStyle name="20% - Accent2 4 2 3 4" xfId="5607"/>
    <cellStyle name="20% - Accent2 4 2 3 4 2" xfId="11849"/>
    <cellStyle name="20% - Accent2 4 2 3 4 3" xfId="18004"/>
    <cellStyle name="20% - Accent2 4 2 3 4 4" xfId="24131"/>
    <cellStyle name="20% - Accent2 4 2 3 5" xfId="8761"/>
    <cellStyle name="20% - Accent2 4 2 3 6" xfId="14266"/>
    <cellStyle name="20% - Accent2 4 2 3 7" xfId="20941"/>
    <cellStyle name="20% - Accent2 4 2 4" xfId="2127"/>
    <cellStyle name="20% - Accent2 4 2 4 2" xfId="2850"/>
    <cellStyle name="20% - Accent2 4 2 4 2 2" xfId="5988"/>
    <cellStyle name="20% - Accent2 4 2 4 2 2 2" xfId="12230"/>
    <cellStyle name="20% - Accent2 4 2 4 2 2 3" xfId="18385"/>
    <cellStyle name="20% - Accent2 4 2 4 2 2 4" xfId="24512"/>
    <cellStyle name="20% - Accent2 4 2 4 2 3" xfId="9142"/>
    <cellStyle name="20% - Accent2 4 2 4 2 4" xfId="15308"/>
    <cellStyle name="20% - Accent2 4 2 4 2 5" xfId="21436"/>
    <cellStyle name="20% - Accent2 4 2 4 3" xfId="2849"/>
    <cellStyle name="20% - Accent2 4 2 4 3 2" xfId="5987"/>
    <cellStyle name="20% - Accent2 4 2 4 3 2 2" xfId="12229"/>
    <cellStyle name="20% - Accent2 4 2 4 3 2 3" xfId="18384"/>
    <cellStyle name="20% - Accent2 4 2 4 3 2 4" xfId="24511"/>
    <cellStyle name="20% - Accent2 4 2 4 3 3" xfId="9141"/>
    <cellStyle name="20% - Accent2 4 2 4 3 4" xfId="15307"/>
    <cellStyle name="20% - Accent2 4 2 4 3 5" xfId="21435"/>
    <cellStyle name="20% - Accent2 4 2 4 4" xfId="5440"/>
    <cellStyle name="20% - Accent2 4 2 4 4 2" xfId="11682"/>
    <cellStyle name="20% - Accent2 4 2 4 4 3" xfId="17837"/>
    <cellStyle name="20% - Accent2 4 2 4 4 4" xfId="23964"/>
    <cellStyle name="20% - Accent2 4 2 4 5" xfId="8594"/>
    <cellStyle name="20% - Accent2 4 2 4 6" xfId="14267"/>
    <cellStyle name="20% - Accent2 4 2 4 7" xfId="20774"/>
    <cellStyle name="20% - Accent2 4 2 5" xfId="764"/>
    <cellStyle name="20% - Accent2 4 2 5 2" xfId="2852"/>
    <cellStyle name="20% - Accent2 4 2 5 2 2" xfId="5990"/>
    <cellStyle name="20% - Accent2 4 2 5 2 2 2" xfId="12232"/>
    <cellStyle name="20% - Accent2 4 2 5 2 2 3" xfId="18387"/>
    <cellStyle name="20% - Accent2 4 2 5 2 2 4" xfId="24514"/>
    <cellStyle name="20% - Accent2 4 2 5 2 3" xfId="9144"/>
    <cellStyle name="20% - Accent2 4 2 5 2 4" xfId="15310"/>
    <cellStyle name="20% - Accent2 4 2 5 2 5" xfId="21438"/>
    <cellStyle name="20% - Accent2 4 2 5 3" xfId="2851"/>
    <cellStyle name="20% - Accent2 4 2 5 3 2" xfId="5989"/>
    <cellStyle name="20% - Accent2 4 2 5 3 2 2" xfId="12231"/>
    <cellStyle name="20% - Accent2 4 2 5 3 2 3" xfId="18386"/>
    <cellStyle name="20% - Accent2 4 2 5 3 2 4" xfId="24513"/>
    <cellStyle name="20% - Accent2 4 2 5 3 3" xfId="9143"/>
    <cellStyle name="20% - Accent2 4 2 5 3 4" xfId="15309"/>
    <cellStyle name="20% - Accent2 4 2 5 3 5" xfId="21437"/>
    <cellStyle name="20% - Accent2 4 2 5 4" xfId="5113"/>
    <cellStyle name="20% - Accent2 4 2 5 4 2" xfId="11356"/>
    <cellStyle name="20% - Accent2 4 2 5 4 3" xfId="17511"/>
    <cellStyle name="20% - Accent2 4 2 5 4 4" xfId="23638"/>
    <cellStyle name="20% - Accent2 4 2 5 5" xfId="8270"/>
    <cellStyle name="20% - Accent2 4 2 5 6" xfId="14268"/>
    <cellStyle name="20% - Accent2 4 2 5 7" xfId="20453"/>
    <cellStyle name="20% - Accent2 4 2 6" xfId="211"/>
    <cellStyle name="20% - Accent2 4 2 6 2" xfId="2854"/>
    <cellStyle name="20% - Accent2 4 2 6 2 2" xfId="5992"/>
    <cellStyle name="20% - Accent2 4 2 6 2 2 2" xfId="12234"/>
    <cellStyle name="20% - Accent2 4 2 6 2 2 3" xfId="18389"/>
    <cellStyle name="20% - Accent2 4 2 6 2 2 4" xfId="24516"/>
    <cellStyle name="20% - Accent2 4 2 6 2 3" xfId="9146"/>
    <cellStyle name="20% - Accent2 4 2 6 2 4" xfId="15312"/>
    <cellStyle name="20% - Accent2 4 2 6 2 5" xfId="21440"/>
    <cellStyle name="20% - Accent2 4 2 6 3" xfId="2853"/>
    <cellStyle name="20% - Accent2 4 2 6 3 2" xfId="5991"/>
    <cellStyle name="20% - Accent2 4 2 6 3 2 2" xfId="12233"/>
    <cellStyle name="20% - Accent2 4 2 6 3 2 3" xfId="18388"/>
    <cellStyle name="20% - Accent2 4 2 6 3 2 4" xfId="24515"/>
    <cellStyle name="20% - Accent2 4 2 6 3 3" xfId="9145"/>
    <cellStyle name="20% - Accent2 4 2 6 3 4" xfId="15311"/>
    <cellStyle name="20% - Accent2 4 2 6 3 5" xfId="21439"/>
    <cellStyle name="20% - Accent2 4 2 6 4" xfId="4991"/>
    <cellStyle name="20% - Accent2 4 2 6 4 2" xfId="11234"/>
    <cellStyle name="20% - Accent2 4 2 6 4 3" xfId="17389"/>
    <cellStyle name="20% - Accent2 4 2 6 4 4" xfId="23516"/>
    <cellStyle name="20% - Accent2 4 2 6 5" xfId="8149"/>
    <cellStyle name="20% - Accent2 4 2 6 6" xfId="14269"/>
    <cellStyle name="20% - Accent2 4 2 6 7" xfId="21145"/>
    <cellStyle name="20% - Accent2 4 2 7" xfId="2855"/>
    <cellStyle name="20% - Accent2 4 2 7 2" xfId="5993"/>
    <cellStyle name="20% - Accent2 4 2 7 2 2" xfId="12235"/>
    <cellStyle name="20% - Accent2 4 2 7 2 3" xfId="18390"/>
    <cellStyle name="20% - Accent2 4 2 7 2 4" xfId="24517"/>
    <cellStyle name="20% - Accent2 4 2 7 3" xfId="9147"/>
    <cellStyle name="20% - Accent2 4 2 7 4" xfId="15313"/>
    <cellStyle name="20% - Accent2 4 2 7 5" xfId="21441"/>
    <cellStyle name="20% - Accent2 4 2 8" xfId="2856"/>
    <cellStyle name="20% - Accent2 4 2 8 2" xfId="5994"/>
    <cellStyle name="20% - Accent2 4 2 8 2 2" xfId="12236"/>
    <cellStyle name="20% - Accent2 4 2 8 2 3" xfId="18391"/>
    <cellStyle name="20% - Accent2 4 2 8 2 4" xfId="24518"/>
    <cellStyle name="20% - Accent2 4 2 8 3" xfId="9148"/>
    <cellStyle name="20% - Accent2 4 2 8 4" xfId="15314"/>
    <cellStyle name="20% - Accent2 4 2 8 5" xfId="21442"/>
    <cellStyle name="20% - Accent2 4 2 9" xfId="2839"/>
    <cellStyle name="20% - Accent2 4 2 9 2" xfId="5977"/>
    <cellStyle name="20% - Accent2 4 2 9 2 2" xfId="12219"/>
    <cellStyle name="20% - Accent2 4 2 9 2 3" xfId="18374"/>
    <cellStyle name="20% - Accent2 4 2 9 2 4" xfId="24501"/>
    <cellStyle name="20% - Accent2 4 2 9 3" xfId="9131"/>
    <cellStyle name="20% - Accent2 4 2 9 4" xfId="15297"/>
    <cellStyle name="20% - Accent2 4 2 9 5" xfId="21425"/>
    <cellStyle name="20% - Accent2 5" xfId="469"/>
    <cellStyle name="20% - Accent2 5 2" xfId="2858"/>
    <cellStyle name="20% - Accent2 5 2 2" xfId="5996"/>
    <cellStyle name="20% - Accent2 5 2 2 2" xfId="12238"/>
    <cellStyle name="20% - Accent2 5 2 2 3" xfId="18393"/>
    <cellStyle name="20% - Accent2 5 2 2 4" xfId="24520"/>
    <cellStyle name="20% - Accent2 5 2 3" xfId="9150"/>
    <cellStyle name="20% - Accent2 5 2 4" xfId="15316"/>
    <cellStyle name="20% - Accent2 5 2 5" xfId="21444"/>
    <cellStyle name="20% - Accent2 5 3" xfId="2859"/>
    <cellStyle name="20% - Accent2 5 3 2" xfId="5997"/>
    <cellStyle name="20% - Accent2 5 3 2 2" xfId="12239"/>
    <cellStyle name="20% - Accent2 5 3 2 3" xfId="18394"/>
    <cellStyle name="20% - Accent2 5 3 2 4" xfId="24521"/>
    <cellStyle name="20% - Accent2 5 3 3" xfId="9151"/>
    <cellStyle name="20% - Accent2 5 3 4" xfId="15317"/>
    <cellStyle name="20% - Accent2 5 3 5" xfId="21445"/>
    <cellStyle name="20% - Accent2 5 4" xfId="2857"/>
    <cellStyle name="20% - Accent2 5 4 2" xfId="5995"/>
    <cellStyle name="20% - Accent2 5 4 2 2" xfId="12237"/>
    <cellStyle name="20% - Accent2 5 4 2 3" xfId="18392"/>
    <cellStyle name="20% - Accent2 5 4 2 4" xfId="24519"/>
    <cellStyle name="20% - Accent2 5 4 3" xfId="9149"/>
    <cellStyle name="20% - Accent2 5 4 4" xfId="15315"/>
    <cellStyle name="20% - Accent2 5 4 5" xfId="21443"/>
    <cellStyle name="20% - Accent2 5 5" xfId="5087"/>
    <cellStyle name="20% - Accent2 5 5 2" xfId="11330"/>
    <cellStyle name="20% - Accent2 5 5 3" xfId="17485"/>
    <cellStyle name="20% - Accent2 5 5 4" xfId="23612"/>
    <cellStyle name="20% - Accent2 5 6" xfId="8246"/>
    <cellStyle name="20% - Accent2 5 7" xfId="14270"/>
    <cellStyle name="20% - Accent2 5 8" xfId="20432"/>
    <cellStyle name="20% - Accent2 6" xfId="189"/>
    <cellStyle name="20% - Accent2 6 2" xfId="2861"/>
    <cellStyle name="20% - Accent2 6 2 2" xfId="5999"/>
    <cellStyle name="20% - Accent2 6 2 2 2" xfId="12241"/>
    <cellStyle name="20% - Accent2 6 2 2 3" xfId="18396"/>
    <cellStyle name="20% - Accent2 6 2 2 4" xfId="24523"/>
    <cellStyle name="20% - Accent2 6 2 3" xfId="9153"/>
    <cellStyle name="20% - Accent2 6 2 4" xfId="15319"/>
    <cellStyle name="20% - Accent2 6 2 5" xfId="21447"/>
    <cellStyle name="20% - Accent2 6 3" xfId="2860"/>
    <cellStyle name="20% - Accent2 6 3 2" xfId="5998"/>
    <cellStyle name="20% - Accent2 6 3 2 2" xfId="12240"/>
    <cellStyle name="20% - Accent2 6 3 2 3" xfId="18395"/>
    <cellStyle name="20% - Accent2 6 3 2 4" xfId="24522"/>
    <cellStyle name="20% - Accent2 6 3 3" xfId="9152"/>
    <cellStyle name="20% - Accent2 6 3 4" xfId="15318"/>
    <cellStyle name="20% - Accent2 6 3 5" xfId="21446"/>
    <cellStyle name="20% - Accent2 6 4" xfId="4970"/>
    <cellStyle name="20% - Accent2 6 4 2" xfId="11213"/>
    <cellStyle name="20% - Accent2 6 4 3" xfId="17368"/>
    <cellStyle name="20% - Accent2 6 4 4" xfId="23495"/>
    <cellStyle name="20% - Accent2 6 5" xfId="8128"/>
    <cellStyle name="20% - Accent2 6 6" xfId="15093"/>
    <cellStyle name="20% - Accent2 6 7" xfId="21221"/>
    <cellStyle name="20% - Accent2 7" xfId="2862"/>
    <cellStyle name="20% - Accent2 7 2" xfId="6000"/>
    <cellStyle name="20% - Accent2 7 2 2" xfId="12242"/>
    <cellStyle name="20% - Accent2 7 2 3" xfId="18397"/>
    <cellStyle name="20% - Accent2 7 2 4" xfId="24524"/>
    <cellStyle name="20% - Accent2 7 3" xfId="9154"/>
    <cellStyle name="20% - Accent2 7 4" xfId="15320"/>
    <cellStyle name="20% - Accent2 7 5" xfId="21448"/>
    <cellStyle name="20% - Accent2 8" xfId="4852"/>
    <cellStyle name="20% - Accent2 8 2" xfId="7897"/>
    <cellStyle name="20% - Accent2 8 2 2" xfId="14139"/>
    <cellStyle name="20% - Accent2 8 2 3" xfId="20294"/>
    <cellStyle name="20% - Accent2 8 2 4" xfId="26421"/>
    <cellStyle name="20% - Accent2 8 3" xfId="11108"/>
    <cellStyle name="20% - Accent2 8 4" xfId="17263"/>
    <cellStyle name="20% - Accent2 8 5" xfId="23390"/>
    <cellStyle name="20% - Accent2 9" xfId="4878"/>
    <cellStyle name="20% - Accent2 9 2" xfId="11124"/>
    <cellStyle name="20% - Accent2 9 3" xfId="17279"/>
    <cellStyle name="20% - Accent2 9 4" xfId="23406"/>
    <cellStyle name="20% - Accent3 10" xfId="15069"/>
    <cellStyle name="20% - Accent3 11" xfId="20317"/>
    <cellStyle name="20% - Accent3 2" xfId="44"/>
    <cellStyle name="20% - Accent3 2 10" xfId="2863"/>
    <cellStyle name="20% - Accent3 2 10 2" xfId="6001"/>
    <cellStyle name="20% - Accent3 2 10 2 2" xfId="12243"/>
    <cellStyle name="20% - Accent3 2 10 2 3" xfId="18398"/>
    <cellStyle name="20% - Accent3 2 10 2 4" xfId="24525"/>
    <cellStyle name="20% - Accent3 2 10 3" xfId="9155"/>
    <cellStyle name="20% - Accent3 2 10 4" xfId="15321"/>
    <cellStyle name="20% - Accent3 2 10 5" xfId="21449"/>
    <cellStyle name="20% - Accent3 2 11" xfId="4900"/>
    <cellStyle name="20% - Accent3 2 11 2" xfId="11144"/>
    <cellStyle name="20% - Accent3 2 11 3" xfId="17299"/>
    <cellStyle name="20% - Accent3 2 11 4" xfId="23426"/>
    <cellStyle name="20% - Accent3 2 12" xfId="8058"/>
    <cellStyle name="20% - Accent3 2 13" xfId="14271"/>
    <cellStyle name="20% - Accent3 2 14" xfId="20338"/>
    <cellStyle name="20% - Accent3 2 2" xfId="45"/>
    <cellStyle name="20% - Accent3 2 2 10" xfId="4901"/>
    <cellStyle name="20% - Accent3 2 2 10 2" xfId="11145"/>
    <cellStyle name="20% - Accent3 2 2 10 3" xfId="17300"/>
    <cellStyle name="20% - Accent3 2 2 10 4" xfId="23427"/>
    <cellStyle name="20% - Accent3 2 2 11" xfId="8059"/>
    <cellStyle name="20% - Accent3 2 2 12" xfId="14272"/>
    <cellStyle name="20% - Accent3 2 2 13" xfId="20339"/>
    <cellStyle name="20% - Accent3 2 2 2" xfId="1993"/>
    <cellStyle name="20% - Accent3 2 2 2 10" xfId="20670"/>
    <cellStyle name="20% - Accent3 2 2 2 2" xfId="2379"/>
    <cellStyle name="20% - Accent3 2 2 2 2 2" xfId="2867"/>
    <cellStyle name="20% - Accent3 2 2 2 2 2 2" xfId="6005"/>
    <cellStyle name="20% - Accent3 2 2 2 2 2 2 2" xfId="12247"/>
    <cellStyle name="20% - Accent3 2 2 2 2 2 2 3" xfId="18402"/>
    <cellStyle name="20% - Accent3 2 2 2 2 2 2 4" xfId="24529"/>
    <cellStyle name="20% - Accent3 2 2 2 2 2 3" xfId="9159"/>
    <cellStyle name="20% - Accent3 2 2 2 2 2 4" xfId="15325"/>
    <cellStyle name="20% - Accent3 2 2 2 2 2 5" xfId="21453"/>
    <cellStyle name="20% - Accent3 2 2 2 2 3" xfId="2866"/>
    <cellStyle name="20% - Accent3 2 2 2 2 3 2" xfId="6004"/>
    <cellStyle name="20% - Accent3 2 2 2 2 3 2 2" xfId="12246"/>
    <cellStyle name="20% - Accent3 2 2 2 2 3 2 3" xfId="18401"/>
    <cellStyle name="20% - Accent3 2 2 2 2 3 2 4" xfId="24528"/>
    <cellStyle name="20% - Accent3 2 2 2 2 3 3" xfId="9158"/>
    <cellStyle name="20% - Accent3 2 2 2 2 3 4" xfId="15324"/>
    <cellStyle name="20% - Accent3 2 2 2 2 3 5" xfId="21452"/>
    <cellStyle name="20% - Accent3 2 2 2 2 4" xfId="5692"/>
    <cellStyle name="20% - Accent3 2 2 2 2 4 2" xfId="11934"/>
    <cellStyle name="20% - Accent3 2 2 2 2 4 3" xfId="18089"/>
    <cellStyle name="20% - Accent3 2 2 2 2 4 4" xfId="24216"/>
    <cellStyle name="20% - Accent3 2 2 2 2 5" xfId="8846"/>
    <cellStyle name="20% - Accent3 2 2 2 2 6" xfId="14274"/>
    <cellStyle name="20% - Accent3 2 2 2 2 7" xfId="21026"/>
    <cellStyle name="20% - Accent3 2 2 2 3" xfId="2204"/>
    <cellStyle name="20% - Accent3 2 2 2 3 2" xfId="2869"/>
    <cellStyle name="20% - Accent3 2 2 2 3 2 2" xfId="6007"/>
    <cellStyle name="20% - Accent3 2 2 2 3 2 2 2" xfId="12249"/>
    <cellStyle name="20% - Accent3 2 2 2 3 2 2 3" xfId="18404"/>
    <cellStyle name="20% - Accent3 2 2 2 3 2 2 4" xfId="24531"/>
    <cellStyle name="20% - Accent3 2 2 2 3 2 3" xfId="9161"/>
    <cellStyle name="20% - Accent3 2 2 2 3 2 4" xfId="15327"/>
    <cellStyle name="20% - Accent3 2 2 2 3 2 5" xfId="21455"/>
    <cellStyle name="20% - Accent3 2 2 2 3 3" xfId="2868"/>
    <cellStyle name="20% - Accent3 2 2 2 3 3 2" xfId="6006"/>
    <cellStyle name="20% - Accent3 2 2 2 3 3 2 2" xfId="12248"/>
    <cellStyle name="20% - Accent3 2 2 2 3 3 2 3" xfId="18403"/>
    <cellStyle name="20% - Accent3 2 2 2 3 3 2 4" xfId="24530"/>
    <cellStyle name="20% - Accent3 2 2 2 3 3 3" xfId="9160"/>
    <cellStyle name="20% - Accent3 2 2 2 3 3 4" xfId="15326"/>
    <cellStyle name="20% - Accent3 2 2 2 3 3 5" xfId="21454"/>
    <cellStyle name="20% - Accent3 2 2 2 3 4" xfId="5517"/>
    <cellStyle name="20% - Accent3 2 2 2 3 4 2" xfId="11759"/>
    <cellStyle name="20% - Accent3 2 2 2 3 4 3" xfId="17914"/>
    <cellStyle name="20% - Accent3 2 2 2 3 4 4" xfId="24041"/>
    <cellStyle name="20% - Accent3 2 2 2 3 5" xfId="8671"/>
    <cellStyle name="20% - Accent3 2 2 2 3 6" xfId="14275"/>
    <cellStyle name="20% - Accent3 2 2 2 3 7" xfId="20851"/>
    <cellStyle name="20% - Accent3 2 2 2 4" xfId="2870"/>
    <cellStyle name="20% - Accent3 2 2 2 4 2" xfId="6008"/>
    <cellStyle name="20% - Accent3 2 2 2 4 2 2" xfId="12250"/>
    <cellStyle name="20% - Accent3 2 2 2 4 2 3" xfId="18405"/>
    <cellStyle name="20% - Accent3 2 2 2 4 2 4" xfId="24532"/>
    <cellStyle name="20% - Accent3 2 2 2 4 3" xfId="9162"/>
    <cellStyle name="20% - Accent3 2 2 2 4 4" xfId="15328"/>
    <cellStyle name="20% - Accent3 2 2 2 4 5" xfId="21456"/>
    <cellStyle name="20% - Accent3 2 2 2 5" xfId="2871"/>
    <cellStyle name="20% - Accent3 2 2 2 5 2" xfId="6009"/>
    <cellStyle name="20% - Accent3 2 2 2 5 2 2" xfId="12251"/>
    <cellStyle name="20% - Accent3 2 2 2 5 2 3" xfId="18406"/>
    <cellStyle name="20% - Accent3 2 2 2 5 2 4" xfId="24533"/>
    <cellStyle name="20% - Accent3 2 2 2 5 3" xfId="9163"/>
    <cellStyle name="20% - Accent3 2 2 2 5 4" xfId="15329"/>
    <cellStyle name="20% - Accent3 2 2 2 5 5" xfId="21457"/>
    <cellStyle name="20% - Accent3 2 2 2 6" xfId="2865"/>
    <cellStyle name="20% - Accent3 2 2 2 6 2" xfId="6003"/>
    <cellStyle name="20% - Accent3 2 2 2 6 2 2" xfId="12245"/>
    <cellStyle name="20% - Accent3 2 2 2 6 2 3" xfId="18400"/>
    <cellStyle name="20% - Accent3 2 2 2 6 2 4" xfId="24527"/>
    <cellStyle name="20% - Accent3 2 2 2 6 3" xfId="9157"/>
    <cellStyle name="20% - Accent3 2 2 2 6 4" xfId="15323"/>
    <cellStyle name="20% - Accent3 2 2 2 6 5" xfId="21451"/>
    <cellStyle name="20% - Accent3 2 2 2 7" xfId="5335"/>
    <cellStyle name="20% - Accent3 2 2 2 7 2" xfId="11577"/>
    <cellStyle name="20% - Accent3 2 2 2 7 3" xfId="17732"/>
    <cellStyle name="20% - Accent3 2 2 2 7 4" xfId="23859"/>
    <cellStyle name="20% - Accent3 2 2 2 8" xfId="8490"/>
    <cellStyle name="20% - Accent3 2 2 2 9" xfId="14273"/>
    <cellStyle name="20% - Accent3 2 2 3" xfId="2296"/>
    <cellStyle name="20% - Accent3 2 2 3 2" xfId="2873"/>
    <cellStyle name="20% - Accent3 2 2 3 2 2" xfId="6011"/>
    <cellStyle name="20% - Accent3 2 2 3 2 2 2" xfId="12253"/>
    <cellStyle name="20% - Accent3 2 2 3 2 2 3" xfId="18408"/>
    <cellStyle name="20% - Accent3 2 2 3 2 2 4" xfId="24535"/>
    <cellStyle name="20% - Accent3 2 2 3 2 3" xfId="9165"/>
    <cellStyle name="20% - Accent3 2 2 3 2 4" xfId="15331"/>
    <cellStyle name="20% - Accent3 2 2 3 2 5" xfId="21459"/>
    <cellStyle name="20% - Accent3 2 2 3 3" xfId="2872"/>
    <cellStyle name="20% - Accent3 2 2 3 3 2" xfId="6010"/>
    <cellStyle name="20% - Accent3 2 2 3 3 2 2" xfId="12252"/>
    <cellStyle name="20% - Accent3 2 2 3 3 2 3" xfId="18407"/>
    <cellStyle name="20% - Accent3 2 2 3 3 2 4" xfId="24534"/>
    <cellStyle name="20% - Accent3 2 2 3 3 3" xfId="9164"/>
    <cellStyle name="20% - Accent3 2 2 3 3 4" xfId="15330"/>
    <cellStyle name="20% - Accent3 2 2 3 3 5" xfId="21458"/>
    <cellStyle name="20% - Accent3 2 2 3 4" xfId="5609"/>
    <cellStyle name="20% - Accent3 2 2 3 4 2" xfId="11851"/>
    <cellStyle name="20% - Accent3 2 2 3 4 3" xfId="18006"/>
    <cellStyle name="20% - Accent3 2 2 3 4 4" xfId="24133"/>
    <cellStyle name="20% - Accent3 2 2 3 5" xfId="8763"/>
    <cellStyle name="20% - Accent3 2 2 3 6" xfId="14276"/>
    <cellStyle name="20% - Accent3 2 2 3 7" xfId="20943"/>
    <cellStyle name="20% - Accent3 2 2 4" xfId="2129"/>
    <cellStyle name="20% - Accent3 2 2 4 2" xfId="2875"/>
    <cellStyle name="20% - Accent3 2 2 4 2 2" xfId="6013"/>
    <cellStyle name="20% - Accent3 2 2 4 2 2 2" xfId="12255"/>
    <cellStyle name="20% - Accent3 2 2 4 2 2 3" xfId="18410"/>
    <cellStyle name="20% - Accent3 2 2 4 2 2 4" xfId="24537"/>
    <cellStyle name="20% - Accent3 2 2 4 2 3" xfId="9167"/>
    <cellStyle name="20% - Accent3 2 2 4 2 4" xfId="15333"/>
    <cellStyle name="20% - Accent3 2 2 4 2 5" xfId="21461"/>
    <cellStyle name="20% - Accent3 2 2 4 3" xfId="2874"/>
    <cellStyle name="20% - Accent3 2 2 4 3 2" xfId="6012"/>
    <cellStyle name="20% - Accent3 2 2 4 3 2 2" xfId="12254"/>
    <cellStyle name="20% - Accent3 2 2 4 3 2 3" xfId="18409"/>
    <cellStyle name="20% - Accent3 2 2 4 3 2 4" xfId="24536"/>
    <cellStyle name="20% - Accent3 2 2 4 3 3" xfId="9166"/>
    <cellStyle name="20% - Accent3 2 2 4 3 4" xfId="15332"/>
    <cellStyle name="20% - Accent3 2 2 4 3 5" xfId="21460"/>
    <cellStyle name="20% - Accent3 2 2 4 4" xfId="5442"/>
    <cellStyle name="20% - Accent3 2 2 4 4 2" xfId="11684"/>
    <cellStyle name="20% - Accent3 2 2 4 4 3" xfId="17839"/>
    <cellStyle name="20% - Accent3 2 2 4 4 4" xfId="23966"/>
    <cellStyle name="20% - Accent3 2 2 4 5" xfId="8596"/>
    <cellStyle name="20% - Accent3 2 2 4 6" xfId="14277"/>
    <cellStyle name="20% - Accent3 2 2 4 7" xfId="20776"/>
    <cellStyle name="20% - Accent3 2 2 5" xfId="766"/>
    <cellStyle name="20% - Accent3 2 2 5 2" xfId="2877"/>
    <cellStyle name="20% - Accent3 2 2 5 2 2" xfId="6015"/>
    <cellStyle name="20% - Accent3 2 2 5 2 2 2" xfId="12257"/>
    <cellStyle name="20% - Accent3 2 2 5 2 2 3" xfId="18412"/>
    <cellStyle name="20% - Accent3 2 2 5 2 2 4" xfId="24539"/>
    <cellStyle name="20% - Accent3 2 2 5 2 3" xfId="9169"/>
    <cellStyle name="20% - Accent3 2 2 5 2 4" xfId="15335"/>
    <cellStyle name="20% - Accent3 2 2 5 2 5" xfId="21463"/>
    <cellStyle name="20% - Accent3 2 2 5 3" xfId="2876"/>
    <cellStyle name="20% - Accent3 2 2 5 3 2" xfId="6014"/>
    <cellStyle name="20% - Accent3 2 2 5 3 2 2" xfId="12256"/>
    <cellStyle name="20% - Accent3 2 2 5 3 2 3" xfId="18411"/>
    <cellStyle name="20% - Accent3 2 2 5 3 2 4" xfId="24538"/>
    <cellStyle name="20% - Accent3 2 2 5 3 3" xfId="9168"/>
    <cellStyle name="20% - Accent3 2 2 5 3 4" xfId="15334"/>
    <cellStyle name="20% - Accent3 2 2 5 3 5" xfId="21462"/>
    <cellStyle name="20% - Accent3 2 2 5 4" xfId="5115"/>
    <cellStyle name="20% - Accent3 2 2 5 4 2" xfId="11358"/>
    <cellStyle name="20% - Accent3 2 2 5 4 3" xfId="17513"/>
    <cellStyle name="20% - Accent3 2 2 5 4 4" xfId="23640"/>
    <cellStyle name="20% - Accent3 2 2 5 5" xfId="8272"/>
    <cellStyle name="20% - Accent3 2 2 5 6" xfId="14278"/>
    <cellStyle name="20% - Accent3 2 2 5 7" xfId="20455"/>
    <cellStyle name="20% - Accent3 2 2 6" xfId="213"/>
    <cellStyle name="20% - Accent3 2 2 6 2" xfId="2879"/>
    <cellStyle name="20% - Accent3 2 2 6 2 2" xfId="6017"/>
    <cellStyle name="20% - Accent3 2 2 6 2 2 2" xfId="12259"/>
    <cellStyle name="20% - Accent3 2 2 6 2 2 3" xfId="18414"/>
    <cellStyle name="20% - Accent3 2 2 6 2 2 4" xfId="24541"/>
    <cellStyle name="20% - Accent3 2 2 6 2 3" xfId="9171"/>
    <cellStyle name="20% - Accent3 2 2 6 2 4" xfId="15337"/>
    <cellStyle name="20% - Accent3 2 2 6 2 5" xfId="21465"/>
    <cellStyle name="20% - Accent3 2 2 6 3" xfId="2878"/>
    <cellStyle name="20% - Accent3 2 2 6 3 2" xfId="6016"/>
    <cellStyle name="20% - Accent3 2 2 6 3 2 2" xfId="12258"/>
    <cellStyle name="20% - Accent3 2 2 6 3 2 3" xfId="18413"/>
    <cellStyle name="20% - Accent3 2 2 6 3 2 4" xfId="24540"/>
    <cellStyle name="20% - Accent3 2 2 6 3 3" xfId="9170"/>
    <cellStyle name="20% - Accent3 2 2 6 3 4" xfId="15336"/>
    <cellStyle name="20% - Accent3 2 2 6 3 5" xfId="21464"/>
    <cellStyle name="20% - Accent3 2 2 6 4" xfId="4993"/>
    <cellStyle name="20% - Accent3 2 2 6 4 2" xfId="11236"/>
    <cellStyle name="20% - Accent3 2 2 6 4 3" xfId="17391"/>
    <cellStyle name="20% - Accent3 2 2 6 4 4" xfId="23518"/>
    <cellStyle name="20% - Accent3 2 2 6 5" xfId="8151"/>
    <cellStyle name="20% - Accent3 2 2 6 6" xfId="14279"/>
    <cellStyle name="20% - Accent3 2 2 6 7" xfId="21147"/>
    <cellStyle name="20% - Accent3 2 2 7" xfId="2880"/>
    <cellStyle name="20% - Accent3 2 2 7 2" xfId="6018"/>
    <cellStyle name="20% - Accent3 2 2 7 2 2" xfId="12260"/>
    <cellStyle name="20% - Accent3 2 2 7 2 3" xfId="18415"/>
    <cellStyle name="20% - Accent3 2 2 7 2 4" xfId="24542"/>
    <cellStyle name="20% - Accent3 2 2 7 3" xfId="9172"/>
    <cellStyle name="20% - Accent3 2 2 7 4" xfId="15338"/>
    <cellStyle name="20% - Accent3 2 2 7 5" xfId="21466"/>
    <cellStyle name="20% - Accent3 2 2 8" xfId="2881"/>
    <cellStyle name="20% - Accent3 2 2 8 2" xfId="6019"/>
    <cellStyle name="20% - Accent3 2 2 8 2 2" xfId="12261"/>
    <cellStyle name="20% - Accent3 2 2 8 2 3" xfId="18416"/>
    <cellStyle name="20% - Accent3 2 2 8 2 4" xfId="24543"/>
    <cellStyle name="20% - Accent3 2 2 8 3" xfId="9173"/>
    <cellStyle name="20% - Accent3 2 2 8 4" xfId="15339"/>
    <cellStyle name="20% - Accent3 2 2 8 5" xfId="21467"/>
    <cellStyle name="20% - Accent3 2 2 9" xfId="2864"/>
    <cellStyle name="20% - Accent3 2 2 9 2" xfId="6002"/>
    <cellStyle name="20% - Accent3 2 2 9 2 2" xfId="12244"/>
    <cellStyle name="20% - Accent3 2 2 9 2 3" xfId="18399"/>
    <cellStyle name="20% - Accent3 2 2 9 2 4" xfId="24526"/>
    <cellStyle name="20% - Accent3 2 2 9 3" xfId="9156"/>
    <cellStyle name="20% - Accent3 2 2 9 4" xfId="15322"/>
    <cellStyle name="20% - Accent3 2 2 9 5" xfId="21450"/>
    <cellStyle name="20% - Accent3 2 3" xfId="948"/>
    <cellStyle name="20% - Accent3 2 3 2" xfId="2378"/>
    <cellStyle name="20% - Accent3 2 3 2 2" xfId="2883"/>
    <cellStyle name="20% - Accent3 2 3 2 2 2" xfId="6021"/>
    <cellStyle name="20% - Accent3 2 3 2 2 2 2" xfId="12263"/>
    <cellStyle name="20% - Accent3 2 3 2 2 2 3" xfId="18418"/>
    <cellStyle name="20% - Accent3 2 3 2 2 2 4" xfId="24545"/>
    <cellStyle name="20% - Accent3 2 3 2 2 3" xfId="9175"/>
    <cellStyle name="20% - Accent3 2 3 2 2 4" xfId="15341"/>
    <cellStyle name="20% - Accent3 2 3 2 2 5" xfId="21469"/>
    <cellStyle name="20% - Accent3 2 3 2 3" xfId="2882"/>
    <cellStyle name="20% - Accent3 2 3 2 3 2" xfId="6020"/>
    <cellStyle name="20% - Accent3 2 3 2 3 2 2" xfId="12262"/>
    <cellStyle name="20% - Accent3 2 3 2 3 2 3" xfId="18417"/>
    <cellStyle name="20% - Accent3 2 3 2 3 2 4" xfId="24544"/>
    <cellStyle name="20% - Accent3 2 3 2 3 3" xfId="9174"/>
    <cellStyle name="20% - Accent3 2 3 2 3 4" xfId="15340"/>
    <cellStyle name="20% - Accent3 2 3 2 3 5" xfId="21468"/>
    <cellStyle name="20% - Accent3 2 3 2 4" xfId="5691"/>
    <cellStyle name="20% - Accent3 2 3 2 4 2" xfId="11933"/>
    <cellStyle name="20% - Accent3 2 3 2 4 3" xfId="18088"/>
    <cellStyle name="20% - Accent3 2 3 2 4 4" xfId="24215"/>
    <cellStyle name="20% - Accent3 2 3 2 5" xfId="8845"/>
    <cellStyle name="20% - Accent3 2 3 2 6" xfId="14280"/>
    <cellStyle name="20% - Accent3 2 3 2 7" xfId="21025"/>
    <cellStyle name="20% - Accent3 2 3 3" xfId="2203"/>
    <cellStyle name="20% - Accent3 2 3 3 2" xfId="2885"/>
    <cellStyle name="20% - Accent3 2 3 3 2 2" xfId="6023"/>
    <cellStyle name="20% - Accent3 2 3 3 2 2 2" xfId="12265"/>
    <cellStyle name="20% - Accent3 2 3 3 2 2 3" xfId="18420"/>
    <cellStyle name="20% - Accent3 2 3 3 2 2 4" xfId="24547"/>
    <cellStyle name="20% - Accent3 2 3 3 2 3" xfId="9177"/>
    <cellStyle name="20% - Accent3 2 3 3 2 4" xfId="15343"/>
    <cellStyle name="20% - Accent3 2 3 3 2 5" xfId="21471"/>
    <cellStyle name="20% - Accent3 2 3 3 3" xfId="2884"/>
    <cellStyle name="20% - Accent3 2 3 3 3 2" xfId="6022"/>
    <cellStyle name="20% - Accent3 2 3 3 3 2 2" xfId="12264"/>
    <cellStyle name="20% - Accent3 2 3 3 3 2 3" xfId="18419"/>
    <cellStyle name="20% - Accent3 2 3 3 3 2 4" xfId="24546"/>
    <cellStyle name="20% - Accent3 2 3 3 3 3" xfId="9176"/>
    <cellStyle name="20% - Accent3 2 3 3 3 4" xfId="15342"/>
    <cellStyle name="20% - Accent3 2 3 3 3 5" xfId="21470"/>
    <cellStyle name="20% - Accent3 2 3 3 4" xfId="5516"/>
    <cellStyle name="20% - Accent3 2 3 3 4 2" xfId="11758"/>
    <cellStyle name="20% - Accent3 2 3 3 4 3" xfId="17913"/>
    <cellStyle name="20% - Accent3 2 3 3 4 4" xfId="24040"/>
    <cellStyle name="20% - Accent3 2 3 3 5" xfId="8670"/>
    <cellStyle name="20% - Accent3 2 3 3 6" xfId="14281"/>
    <cellStyle name="20% - Accent3 2 3 3 7" xfId="20850"/>
    <cellStyle name="20% - Accent3 2 3 4" xfId="1992"/>
    <cellStyle name="20% - Accent3 2 3 4 2" xfId="2887"/>
    <cellStyle name="20% - Accent3 2 3 4 2 2" xfId="6025"/>
    <cellStyle name="20% - Accent3 2 3 4 2 2 2" xfId="12267"/>
    <cellStyle name="20% - Accent3 2 3 4 2 2 3" xfId="18422"/>
    <cellStyle name="20% - Accent3 2 3 4 2 2 4" xfId="24549"/>
    <cellStyle name="20% - Accent3 2 3 4 2 3" xfId="9179"/>
    <cellStyle name="20% - Accent3 2 3 4 2 4" xfId="15345"/>
    <cellStyle name="20% - Accent3 2 3 4 2 5" xfId="21473"/>
    <cellStyle name="20% - Accent3 2 3 4 3" xfId="2886"/>
    <cellStyle name="20% - Accent3 2 3 4 3 2" xfId="6024"/>
    <cellStyle name="20% - Accent3 2 3 4 3 2 2" xfId="12266"/>
    <cellStyle name="20% - Accent3 2 3 4 3 2 3" xfId="18421"/>
    <cellStyle name="20% - Accent3 2 3 4 3 2 4" xfId="24548"/>
    <cellStyle name="20% - Accent3 2 3 4 3 3" xfId="9178"/>
    <cellStyle name="20% - Accent3 2 3 4 3 4" xfId="15344"/>
    <cellStyle name="20% - Accent3 2 3 4 3 5" xfId="21472"/>
    <cellStyle name="20% - Accent3 2 3 4 4" xfId="5334"/>
    <cellStyle name="20% - Accent3 2 3 4 4 2" xfId="11576"/>
    <cellStyle name="20% - Accent3 2 3 4 4 3" xfId="17731"/>
    <cellStyle name="20% - Accent3 2 3 4 4 4" xfId="23858"/>
    <cellStyle name="20% - Accent3 2 3 4 5" xfId="8489"/>
    <cellStyle name="20% - Accent3 2 3 4 6" xfId="14282"/>
    <cellStyle name="20% - Accent3 2 3 4 7" xfId="20669"/>
    <cellStyle name="20% - Accent3 2 3 5" xfId="2888"/>
    <cellStyle name="20% - Accent3 2 3 6" xfId="2889"/>
    <cellStyle name="20% - Accent3 2 3 6 2" xfId="6026"/>
    <cellStyle name="20% - Accent3 2 3 6 2 2" xfId="12268"/>
    <cellStyle name="20% - Accent3 2 3 6 2 3" xfId="18423"/>
    <cellStyle name="20% - Accent3 2 3 6 2 4" xfId="24550"/>
    <cellStyle name="20% - Accent3 2 3 6 3" xfId="9180"/>
    <cellStyle name="20% - Accent3 2 3 6 4" xfId="15346"/>
    <cellStyle name="20% - Accent3 2 3 6 5" xfId="21474"/>
    <cellStyle name="20% - Accent3 2 4" xfId="2295"/>
    <cellStyle name="20% - Accent3 2 4 2" xfId="2891"/>
    <cellStyle name="20% - Accent3 2 4 2 2" xfId="6028"/>
    <cellStyle name="20% - Accent3 2 4 2 2 2" xfId="12270"/>
    <cellStyle name="20% - Accent3 2 4 2 2 3" xfId="18425"/>
    <cellStyle name="20% - Accent3 2 4 2 2 4" xfId="24552"/>
    <cellStyle name="20% - Accent3 2 4 2 3" xfId="9182"/>
    <cellStyle name="20% - Accent3 2 4 2 4" xfId="15348"/>
    <cellStyle name="20% - Accent3 2 4 2 5" xfId="21476"/>
    <cellStyle name="20% - Accent3 2 4 3" xfId="2890"/>
    <cellStyle name="20% - Accent3 2 4 3 2" xfId="6027"/>
    <cellStyle name="20% - Accent3 2 4 3 2 2" xfId="12269"/>
    <cellStyle name="20% - Accent3 2 4 3 2 3" xfId="18424"/>
    <cellStyle name="20% - Accent3 2 4 3 2 4" xfId="24551"/>
    <cellStyle name="20% - Accent3 2 4 3 3" xfId="9181"/>
    <cellStyle name="20% - Accent3 2 4 3 4" xfId="15347"/>
    <cellStyle name="20% - Accent3 2 4 3 5" xfId="21475"/>
    <cellStyle name="20% - Accent3 2 4 4" xfId="5608"/>
    <cellStyle name="20% - Accent3 2 4 4 2" xfId="11850"/>
    <cellStyle name="20% - Accent3 2 4 4 3" xfId="18005"/>
    <cellStyle name="20% - Accent3 2 4 4 4" xfId="24132"/>
    <cellStyle name="20% - Accent3 2 4 5" xfId="8762"/>
    <cellStyle name="20% - Accent3 2 4 6" xfId="14283"/>
    <cellStyle name="20% - Accent3 2 4 7" xfId="20942"/>
    <cellStyle name="20% - Accent3 2 5" xfId="2128"/>
    <cellStyle name="20% - Accent3 2 5 2" xfId="2893"/>
    <cellStyle name="20% - Accent3 2 5 2 2" xfId="6030"/>
    <cellStyle name="20% - Accent3 2 5 2 2 2" xfId="12272"/>
    <cellStyle name="20% - Accent3 2 5 2 2 3" xfId="18427"/>
    <cellStyle name="20% - Accent3 2 5 2 2 4" xfId="24554"/>
    <cellStyle name="20% - Accent3 2 5 2 3" xfId="9184"/>
    <cellStyle name="20% - Accent3 2 5 2 4" xfId="15350"/>
    <cellStyle name="20% - Accent3 2 5 2 5" xfId="21478"/>
    <cellStyle name="20% - Accent3 2 5 3" xfId="2892"/>
    <cellStyle name="20% - Accent3 2 5 3 2" xfId="6029"/>
    <cellStyle name="20% - Accent3 2 5 3 2 2" xfId="12271"/>
    <cellStyle name="20% - Accent3 2 5 3 2 3" xfId="18426"/>
    <cellStyle name="20% - Accent3 2 5 3 2 4" xfId="24553"/>
    <cellStyle name="20% - Accent3 2 5 3 3" xfId="9183"/>
    <cellStyle name="20% - Accent3 2 5 3 4" xfId="15349"/>
    <cellStyle name="20% - Accent3 2 5 3 5" xfId="21477"/>
    <cellStyle name="20% - Accent3 2 5 4" xfId="5441"/>
    <cellStyle name="20% - Accent3 2 5 4 2" xfId="11683"/>
    <cellStyle name="20% - Accent3 2 5 4 3" xfId="17838"/>
    <cellStyle name="20% - Accent3 2 5 4 4" xfId="23965"/>
    <cellStyle name="20% - Accent3 2 5 5" xfId="8595"/>
    <cellStyle name="20% - Accent3 2 5 6" xfId="14284"/>
    <cellStyle name="20% - Accent3 2 5 7" xfId="20775"/>
    <cellStyle name="20% - Accent3 2 6" xfId="765"/>
    <cellStyle name="20% - Accent3 2 6 2" xfId="2895"/>
    <cellStyle name="20% - Accent3 2 6 2 2" xfId="6032"/>
    <cellStyle name="20% - Accent3 2 6 2 2 2" xfId="12274"/>
    <cellStyle name="20% - Accent3 2 6 2 2 3" xfId="18429"/>
    <cellStyle name="20% - Accent3 2 6 2 2 4" xfId="24556"/>
    <cellStyle name="20% - Accent3 2 6 2 3" xfId="9186"/>
    <cellStyle name="20% - Accent3 2 6 2 4" xfId="15352"/>
    <cellStyle name="20% - Accent3 2 6 2 5" xfId="21480"/>
    <cellStyle name="20% - Accent3 2 6 3" xfId="2894"/>
    <cellStyle name="20% - Accent3 2 6 3 2" xfId="6031"/>
    <cellStyle name="20% - Accent3 2 6 3 2 2" xfId="12273"/>
    <cellStyle name="20% - Accent3 2 6 3 2 3" xfId="18428"/>
    <cellStyle name="20% - Accent3 2 6 3 2 4" xfId="24555"/>
    <cellStyle name="20% - Accent3 2 6 3 3" xfId="9185"/>
    <cellStyle name="20% - Accent3 2 6 3 4" xfId="15351"/>
    <cellStyle name="20% - Accent3 2 6 3 5" xfId="21479"/>
    <cellStyle name="20% - Accent3 2 6 4" xfId="5114"/>
    <cellStyle name="20% - Accent3 2 6 4 2" xfId="11357"/>
    <cellStyle name="20% - Accent3 2 6 4 3" xfId="17512"/>
    <cellStyle name="20% - Accent3 2 6 4 4" xfId="23639"/>
    <cellStyle name="20% - Accent3 2 6 5" xfId="8271"/>
    <cellStyle name="20% - Accent3 2 6 6" xfId="14285"/>
    <cellStyle name="20% - Accent3 2 6 7" xfId="20454"/>
    <cellStyle name="20% - Accent3 2 7" xfId="212"/>
    <cellStyle name="20% - Accent3 2 7 2" xfId="2897"/>
    <cellStyle name="20% - Accent3 2 7 2 2" xfId="6034"/>
    <cellStyle name="20% - Accent3 2 7 2 2 2" xfId="12276"/>
    <cellStyle name="20% - Accent3 2 7 2 2 3" xfId="18431"/>
    <cellStyle name="20% - Accent3 2 7 2 2 4" xfId="24558"/>
    <cellStyle name="20% - Accent3 2 7 2 3" xfId="9188"/>
    <cellStyle name="20% - Accent3 2 7 2 4" xfId="15354"/>
    <cellStyle name="20% - Accent3 2 7 2 5" xfId="21482"/>
    <cellStyle name="20% - Accent3 2 7 3" xfId="2896"/>
    <cellStyle name="20% - Accent3 2 7 3 2" xfId="6033"/>
    <cellStyle name="20% - Accent3 2 7 3 2 2" xfId="12275"/>
    <cellStyle name="20% - Accent3 2 7 3 2 3" xfId="18430"/>
    <cellStyle name="20% - Accent3 2 7 3 2 4" xfId="24557"/>
    <cellStyle name="20% - Accent3 2 7 3 3" xfId="9187"/>
    <cellStyle name="20% - Accent3 2 7 3 4" xfId="15353"/>
    <cellStyle name="20% - Accent3 2 7 3 5" xfId="21481"/>
    <cellStyle name="20% - Accent3 2 7 4" xfId="4992"/>
    <cellStyle name="20% - Accent3 2 7 4 2" xfId="11235"/>
    <cellStyle name="20% - Accent3 2 7 4 3" xfId="17390"/>
    <cellStyle name="20% - Accent3 2 7 4 4" xfId="23517"/>
    <cellStyle name="20% - Accent3 2 7 5" xfId="8150"/>
    <cellStyle name="20% - Accent3 2 7 6" xfId="14286"/>
    <cellStyle name="20% - Accent3 2 7 7" xfId="21146"/>
    <cellStyle name="20% - Accent3 2 8" xfId="2898"/>
    <cellStyle name="20% - Accent3 2 8 2" xfId="6035"/>
    <cellStyle name="20% - Accent3 2 8 2 2" xfId="12277"/>
    <cellStyle name="20% - Accent3 2 8 2 3" xfId="18432"/>
    <cellStyle name="20% - Accent3 2 8 2 4" xfId="24559"/>
    <cellStyle name="20% - Accent3 2 8 3" xfId="9189"/>
    <cellStyle name="20% - Accent3 2 8 4" xfId="15355"/>
    <cellStyle name="20% - Accent3 2 8 5" xfId="21483"/>
    <cellStyle name="20% - Accent3 2 9" xfId="2899"/>
    <cellStyle name="20% - Accent3 2 9 2" xfId="6036"/>
    <cellStyle name="20% - Accent3 2 9 2 2" xfId="12278"/>
    <cellStyle name="20% - Accent3 2 9 2 3" xfId="18433"/>
    <cellStyle name="20% - Accent3 2 9 2 4" xfId="24560"/>
    <cellStyle name="20% - Accent3 2 9 3" xfId="9190"/>
    <cellStyle name="20% - Accent3 2 9 4" xfId="15356"/>
    <cellStyle name="20% - Accent3 2 9 5" xfId="21484"/>
    <cellStyle name="20% - Accent3 3" xfId="46"/>
    <cellStyle name="20% - Accent3 3 10" xfId="2900"/>
    <cellStyle name="20% - Accent3 3 10 2" xfId="6037"/>
    <cellStyle name="20% - Accent3 3 10 2 2" xfId="12279"/>
    <cellStyle name="20% - Accent3 3 10 2 3" xfId="18434"/>
    <cellStyle name="20% - Accent3 3 10 2 4" xfId="24561"/>
    <cellStyle name="20% - Accent3 3 10 3" xfId="9191"/>
    <cellStyle name="20% - Accent3 3 10 4" xfId="15357"/>
    <cellStyle name="20% - Accent3 3 10 5" xfId="21485"/>
    <cellStyle name="20% - Accent3 3 11" xfId="4902"/>
    <cellStyle name="20% - Accent3 3 11 2" xfId="11146"/>
    <cellStyle name="20% - Accent3 3 11 3" xfId="17301"/>
    <cellStyle name="20% - Accent3 3 11 4" xfId="23428"/>
    <cellStyle name="20% - Accent3 3 12" xfId="8060"/>
    <cellStyle name="20% - Accent3 3 13" xfId="14287"/>
    <cellStyle name="20% - Accent3 3 14" xfId="20340"/>
    <cellStyle name="20% - Accent3 3 2" xfId="47"/>
    <cellStyle name="20% - Accent3 3 2 10" xfId="4903"/>
    <cellStyle name="20% - Accent3 3 2 10 2" xfId="11147"/>
    <cellStyle name="20% - Accent3 3 2 10 3" xfId="17302"/>
    <cellStyle name="20% - Accent3 3 2 10 4" xfId="23429"/>
    <cellStyle name="20% - Accent3 3 2 11" xfId="8061"/>
    <cellStyle name="20% - Accent3 3 2 12" xfId="14288"/>
    <cellStyle name="20% - Accent3 3 2 13" xfId="20341"/>
    <cellStyle name="20% - Accent3 3 2 2" xfId="1995"/>
    <cellStyle name="20% - Accent3 3 2 2 10" xfId="20672"/>
    <cellStyle name="20% - Accent3 3 2 2 2" xfId="2381"/>
    <cellStyle name="20% - Accent3 3 2 2 2 2" xfId="2904"/>
    <cellStyle name="20% - Accent3 3 2 2 2 2 2" xfId="6041"/>
    <cellStyle name="20% - Accent3 3 2 2 2 2 2 2" xfId="12283"/>
    <cellStyle name="20% - Accent3 3 2 2 2 2 2 3" xfId="18438"/>
    <cellStyle name="20% - Accent3 3 2 2 2 2 2 4" xfId="24565"/>
    <cellStyle name="20% - Accent3 3 2 2 2 2 3" xfId="9195"/>
    <cellStyle name="20% - Accent3 3 2 2 2 2 4" xfId="15361"/>
    <cellStyle name="20% - Accent3 3 2 2 2 2 5" xfId="21489"/>
    <cellStyle name="20% - Accent3 3 2 2 2 3" xfId="2903"/>
    <cellStyle name="20% - Accent3 3 2 2 2 3 2" xfId="6040"/>
    <cellStyle name="20% - Accent3 3 2 2 2 3 2 2" xfId="12282"/>
    <cellStyle name="20% - Accent3 3 2 2 2 3 2 3" xfId="18437"/>
    <cellStyle name="20% - Accent3 3 2 2 2 3 2 4" xfId="24564"/>
    <cellStyle name="20% - Accent3 3 2 2 2 3 3" xfId="9194"/>
    <cellStyle name="20% - Accent3 3 2 2 2 3 4" xfId="15360"/>
    <cellStyle name="20% - Accent3 3 2 2 2 3 5" xfId="21488"/>
    <cellStyle name="20% - Accent3 3 2 2 2 4" xfId="5694"/>
    <cellStyle name="20% - Accent3 3 2 2 2 4 2" xfId="11936"/>
    <cellStyle name="20% - Accent3 3 2 2 2 4 3" xfId="18091"/>
    <cellStyle name="20% - Accent3 3 2 2 2 4 4" xfId="24218"/>
    <cellStyle name="20% - Accent3 3 2 2 2 5" xfId="8848"/>
    <cellStyle name="20% - Accent3 3 2 2 2 6" xfId="14290"/>
    <cellStyle name="20% - Accent3 3 2 2 2 7" xfId="21028"/>
    <cellStyle name="20% - Accent3 3 2 2 3" xfId="2206"/>
    <cellStyle name="20% - Accent3 3 2 2 3 2" xfId="2906"/>
    <cellStyle name="20% - Accent3 3 2 2 3 2 2" xfId="6043"/>
    <cellStyle name="20% - Accent3 3 2 2 3 2 2 2" xfId="12285"/>
    <cellStyle name="20% - Accent3 3 2 2 3 2 2 3" xfId="18440"/>
    <cellStyle name="20% - Accent3 3 2 2 3 2 2 4" xfId="24567"/>
    <cellStyle name="20% - Accent3 3 2 2 3 2 3" xfId="9197"/>
    <cellStyle name="20% - Accent3 3 2 2 3 2 4" xfId="15363"/>
    <cellStyle name="20% - Accent3 3 2 2 3 2 5" xfId="21491"/>
    <cellStyle name="20% - Accent3 3 2 2 3 3" xfId="2905"/>
    <cellStyle name="20% - Accent3 3 2 2 3 3 2" xfId="6042"/>
    <cellStyle name="20% - Accent3 3 2 2 3 3 2 2" xfId="12284"/>
    <cellStyle name="20% - Accent3 3 2 2 3 3 2 3" xfId="18439"/>
    <cellStyle name="20% - Accent3 3 2 2 3 3 2 4" xfId="24566"/>
    <cellStyle name="20% - Accent3 3 2 2 3 3 3" xfId="9196"/>
    <cellStyle name="20% - Accent3 3 2 2 3 3 4" xfId="15362"/>
    <cellStyle name="20% - Accent3 3 2 2 3 3 5" xfId="21490"/>
    <cellStyle name="20% - Accent3 3 2 2 3 4" xfId="5519"/>
    <cellStyle name="20% - Accent3 3 2 2 3 4 2" xfId="11761"/>
    <cellStyle name="20% - Accent3 3 2 2 3 4 3" xfId="17916"/>
    <cellStyle name="20% - Accent3 3 2 2 3 4 4" xfId="24043"/>
    <cellStyle name="20% - Accent3 3 2 2 3 5" xfId="8673"/>
    <cellStyle name="20% - Accent3 3 2 2 3 6" xfId="14291"/>
    <cellStyle name="20% - Accent3 3 2 2 3 7" xfId="20853"/>
    <cellStyle name="20% - Accent3 3 2 2 4" xfId="2907"/>
    <cellStyle name="20% - Accent3 3 2 2 4 2" xfId="6044"/>
    <cellStyle name="20% - Accent3 3 2 2 4 2 2" xfId="12286"/>
    <cellStyle name="20% - Accent3 3 2 2 4 2 3" xfId="18441"/>
    <cellStyle name="20% - Accent3 3 2 2 4 2 4" xfId="24568"/>
    <cellStyle name="20% - Accent3 3 2 2 4 3" xfId="9198"/>
    <cellStyle name="20% - Accent3 3 2 2 4 4" xfId="15364"/>
    <cellStyle name="20% - Accent3 3 2 2 4 5" xfId="21492"/>
    <cellStyle name="20% - Accent3 3 2 2 5" xfId="2908"/>
    <cellStyle name="20% - Accent3 3 2 2 5 2" xfId="6045"/>
    <cellStyle name="20% - Accent3 3 2 2 5 2 2" xfId="12287"/>
    <cellStyle name="20% - Accent3 3 2 2 5 2 3" xfId="18442"/>
    <cellStyle name="20% - Accent3 3 2 2 5 2 4" xfId="24569"/>
    <cellStyle name="20% - Accent3 3 2 2 5 3" xfId="9199"/>
    <cellStyle name="20% - Accent3 3 2 2 5 4" xfId="15365"/>
    <cellStyle name="20% - Accent3 3 2 2 5 5" xfId="21493"/>
    <cellStyle name="20% - Accent3 3 2 2 6" xfId="2902"/>
    <cellStyle name="20% - Accent3 3 2 2 6 2" xfId="6039"/>
    <cellStyle name="20% - Accent3 3 2 2 6 2 2" xfId="12281"/>
    <cellStyle name="20% - Accent3 3 2 2 6 2 3" xfId="18436"/>
    <cellStyle name="20% - Accent3 3 2 2 6 2 4" xfId="24563"/>
    <cellStyle name="20% - Accent3 3 2 2 6 3" xfId="9193"/>
    <cellStyle name="20% - Accent3 3 2 2 6 4" xfId="15359"/>
    <cellStyle name="20% - Accent3 3 2 2 6 5" xfId="21487"/>
    <cellStyle name="20% - Accent3 3 2 2 7" xfId="5337"/>
    <cellStyle name="20% - Accent3 3 2 2 7 2" xfId="11579"/>
    <cellStyle name="20% - Accent3 3 2 2 7 3" xfId="17734"/>
    <cellStyle name="20% - Accent3 3 2 2 7 4" xfId="23861"/>
    <cellStyle name="20% - Accent3 3 2 2 8" xfId="8492"/>
    <cellStyle name="20% - Accent3 3 2 2 9" xfId="14289"/>
    <cellStyle name="20% - Accent3 3 2 3" xfId="2298"/>
    <cellStyle name="20% - Accent3 3 2 3 2" xfId="2910"/>
    <cellStyle name="20% - Accent3 3 2 3 2 2" xfId="6047"/>
    <cellStyle name="20% - Accent3 3 2 3 2 2 2" xfId="12289"/>
    <cellStyle name="20% - Accent3 3 2 3 2 2 3" xfId="18444"/>
    <cellStyle name="20% - Accent3 3 2 3 2 2 4" xfId="24571"/>
    <cellStyle name="20% - Accent3 3 2 3 2 3" xfId="9201"/>
    <cellStyle name="20% - Accent3 3 2 3 2 4" xfId="15367"/>
    <cellStyle name="20% - Accent3 3 2 3 2 5" xfId="21495"/>
    <cellStyle name="20% - Accent3 3 2 3 3" xfId="2909"/>
    <cellStyle name="20% - Accent3 3 2 3 3 2" xfId="6046"/>
    <cellStyle name="20% - Accent3 3 2 3 3 2 2" xfId="12288"/>
    <cellStyle name="20% - Accent3 3 2 3 3 2 3" xfId="18443"/>
    <cellStyle name="20% - Accent3 3 2 3 3 2 4" xfId="24570"/>
    <cellStyle name="20% - Accent3 3 2 3 3 3" xfId="9200"/>
    <cellStyle name="20% - Accent3 3 2 3 3 4" xfId="15366"/>
    <cellStyle name="20% - Accent3 3 2 3 3 5" xfId="21494"/>
    <cellStyle name="20% - Accent3 3 2 3 4" xfId="5611"/>
    <cellStyle name="20% - Accent3 3 2 3 4 2" xfId="11853"/>
    <cellStyle name="20% - Accent3 3 2 3 4 3" xfId="18008"/>
    <cellStyle name="20% - Accent3 3 2 3 4 4" xfId="24135"/>
    <cellStyle name="20% - Accent3 3 2 3 5" xfId="8765"/>
    <cellStyle name="20% - Accent3 3 2 3 6" xfId="14292"/>
    <cellStyle name="20% - Accent3 3 2 3 7" xfId="20945"/>
    <cellStyle name="20% - Accent3 3 2 4" xfId="2131"/>
    <cellStyle name="20% - Accent3 3 2 4 2" xfId="2912"/>
    <cellStyle name="20% - Accent3 3 2 4 2 2" xfId="6049"/>
    <cellStyle name="20% - Accent3 3 2 4 2 2 2" xfId="12291"/>
    <cellStyle name="20% - Accent3 3 2 4 2 2 3" xfId="18446"/>
    <cellStyle name="20% - Accent3 3 2 4 2 2 4" xfId="24573"/>
    <cellStyle name="20% - Accent3 3 2 4 2 3" xfId="9203"/>
    <cellStyle name="20% - Accent3 3 2 4 2 4" xfId="15369"/>
    <cellStyle name="20% - Accent3 3 2 4 2 5" xfId="21497"/>
    <cellStyle name="20% - Accent3 3 2 4 3" xfId="2911"/>
    <cellStyle name="20% - Accent3 3 2 4 3 2" xfId="6048"/>
    <cellStyle name="20% - Accent3 3 2 4 3 2 2" xfId="12290"/>
    <cellStyle name="20% - Accent3 3 2 4 3 2 3" xfId="18445"/>
    <cellStyle name="20% - Accent3 3 2 4 3 2 4" xfId="24572"/>
    <cellStyle name="20% - Accent3 3 2 4 3 3" xfId="9202"/>
    <cellStyle name="20% - Accent3 3 2 4 3 4" xfId="15368"/>
    <cellStyle name="20% - Accent3 3 2 4 3 5" xfId="21496"/>
    <cellStyle name="20% - Accent3 3 2 4 4" xfId="5444"/>
    <cellStyle name="20% - Accent3 3 2 4 4 2" xfId="11686"/>
    <cellStyle name="20% - Accent3 3 2 4 4 3" xfId="17841"/>
    <cellStyle name="20% - Accent3 3 2 4 4 4" xfId="23968"/>
    <cellStyle name="20% - Accent3 3 2 4 5" xfId="8598"/>
    <cellStyle name="20% - Accent3 3 2 4 6" xfId="14293"/>
    <cellStyle name="20% - Accent3 3 2 4 7" xfId="20778"/>
    <cellStyle name="20% - Accent3 3 2 5" xfId="768"/>
    <cellStyle name="20% - Accent3 3 2 5 2" xfId="2914"/>
    <cellStyle name="20% - Accent3 3 2 5 2 2" xfId="6051"/>
    <cellStyle name="20% - Accent3 3 2 5 2 2 2" xfId="12293"/>
    <cellStyle name="20% - Accent3 3 2 5 2 2 3" xfId="18448"/>
    <cellStyle name="20% - Accent3 3 2 5 2 2 4" xfId="24575"/>
    <cellStyle name="20% - Accent3 3 2 5 2 3" xfId="9205"/>
    <cellStyle name="20% - Accent3 3 2 5 2 4" xfId="15371"/>
    <cellStyle name="20% - Accent3 3 2 5 2 5" xfId="21499"/>
    <cellStyle name="20% - Accent3 3 2 5 3" xfId="2913"/>
    <cellStyle name="20% - Accent3 3 2 5 3 2" xfId="6050"/>
    <cellStyle name="20% - Accent3 3 2 5 3 2 2" xfId="12292"/>
    <cellStyle name="20% - Accent3 3 2 5 3 2 3" xfId="18447"/>
    <cellStyle name="20% - Accent3 3 2 5 3 2 4" xfId="24574"/>
    <cellStyle name="20% - Accent3 3 2 5 3 3" xfId="9204"/>
    <cellStyle name="20% - Accent3 3 2 5 3 4" xfId="15370"/>
    <cellStyle name="20% - Accent3 3 2 5 3 5" xfId="21498"/>
    <cellStyle name="20% - Accent3 3 2 5 4" xfId="5117"/>
    <cellStyle name="20% - Accent3 3 2 5 4 2" xfId="11360"/>
    <cellStyle name="20% - Accent3 3 2 5 4 3" xfId="17515"/>
    <cellStyle name="20% - Accent3 3 2 5 4 4" xfId="23642"/>
    <cellStyle name="20% - Accent3 3 2 5 5" xfId="8274"/>
    <cellStyle name="20% - Accent3 3 2 5 6" xfId="14294"/>
    <cellStyle name="20% - Accent3 3 2 5 7" xfId="20457"/>
    <cellStyle name="20% - Accent3 3 2 6" xfId="215"/>
    <cellStyle name="20% - Accent3 3 2 6 2" xfId="2916"/>
    <cellStyle name="20% - Accent3 3 2 6 2 2" xfId="6053"/>
    <cellStyle name="20% - Accent3 3 2 6 2 2 2" xfId="12295"/>
    <cellStyle name="20% - Accent3 3 2 6 2 2 3" xfId="18450"/>
    <cellStyle name="20% - Accent3 3 2 6 2 2 4" xfId="24577"/>
    <cellStyle name="20% - Accent3 3 2 6 2 3" xfId="9207"/>
    <cellStyle name="20% - Accent3 3 2 6 2 4" xfId="15373"/>
    <cellStyle name="20% - Accent3 3 2 6 2 5" xfId="21501"/>
    <cellStyle name="20% - Accent3 3 2 6 3" xfId="2915"/>
    <cellStyle name="20% - Accent3 3 2 6 3 2" xfId="6052"/>
    <cellStyle name="20% - Accent3 3 2 6 3 2 2" xfId="12294"/>
    <cellStyle name="20% - Accent3 3 2 6 3 2 3" xfId="18449"/>
    <cellStyle name="20% - Accent3 3 2 6 3 2 4" xfId="24576"/>
    <cellStyle name="20% - Accent3 3 2 6 3 3" xfId="9206"/>
    <cellStyle name="20% - Accent3 3 2 6 3 4" xfId="15372"/>
    <cellStyle name="20% - Accent3 3 2 6 3 5" xfId="21500"/>
    <cellStyle name="20% - Accent3 3 2 6 4" xfId="4995"/>
    <cellStyle name="20% - Accent3 3 2 6 4 2" xfId="11238"/>
    <cellStyle name="20% - Accent3 3 2 6 4 3" xfId="17393"/>
    <cellStyle name="20% - Accent3 3 2 6 4 4" xfId="23520"/>
    <cellStyle name="20% - Accent3 3 2 6 5" xfId="8153"/>
    <cellStyle name="20% - Accent3 3 2 6 6" xfId="14295"/>
    <cellStyle name="20% - Accent3 3 2 6 7" xfId="21149"/>
    <cellStyle name="20% - Accent3 3 2 7" xfId="2917"/>
    <cellStyle name="20% - Accent3 3 2 7 2" xfId="6054"/>
    <cellStyle name="20% - Accent3 3 2 7 2 2" xfId="12296"/>
    <cellStyle name="20% - Accent3 3 2 7 2 3" xfId="18451"/>
    <cellStyle name="20% - Accent3 3 2 7 2 4" xfId="24578"/>
    <cellStyle name="20% - Accent3 3 2 7 3" xfId="9208"/>
    <cellStyle name="20% - Accent3 3 2 7 4" xfId="15374"/>
    <cellStyle name="20% - Accent3 3 2 7 5" xfId="21502"/>
    <cellStyle name="20% - Accent3 3 2 8" xfId="2918"/>
    <cellStyle name="20% - Accent3 3 2 8 2" xfId="6055"/>
    <cellStyle name="20% - Accent3 3 2 8 2 2" xfId="12297"/>
    <cellStyle name="20% - Accent3 3 2 8 2 3" xfId="18452"/>
    <cellStyle name="20% - Accent3 3 2 8 2 4" xfId="24579"/>
    <cellStyle name="20% - Accent3 3 2 8 3" xfId="9209"/>
    <cellStyle name="20% - Accent3 3 2 8 4" xfId="15375"/>
    <cellStyle name="20% - Accent3 3 2 8 5" xfId="21503"/>
    <cellStyle name="20% - Accent3 3 2 9" xfId="2901"/>
    <cellStyle name="20% - Accent3 3 2 9 2" xfId="6038"/>
    <cellStyle name="20% - Accent3 3 2 9 2 2" xfId="12280"/>
    <cellStyle name="20% - Accent3 3 2 9 2 3" xfId="18435"/>
    <cellStyle name="20% - Accent3 3 2 9 2 4" xfId="24562"/>
    <cellStyle name="20% - Accent3 3 2 9 3" xfId="9192"/>
    <cellStyle name="20% - Accent3 3 2 9 4" xfId="15358"/>
    <cellStyle name="20% - Accent3 3 2 9 5" xfId="21486"/>
    <cellStyle name="20% - Accent3 3 3" xfId="1994"/>
    <cellStyle name="20% - Accent3 3 3 10" xfId="20671"/>
    <cellStyle name="20% - Accent3 3 3 2" xfId="2380"/>
    <cellStyle name="20% - Accent3 3 3 2 2" xfId="2921"/>
    <cellStyle name="20% - Accent3 3 3 2 2 2" xfId="6058"/>
    <cellStyle name="20% - Accent3 3 3 2 2 2 2" xfId="12300"/>
    <cellStyle name="20% - Accent3 3 3 2 2 2 3" xfId="18455"/>
    <cellStyle name="20% - Accent3 3 3 2 2 2 4" xfId="24582"/>
    <cellStyle name="20% - Accent3 3 3 2 2 3" xfId="9212"/>
    <cellStyle name="20% - Accent3 3 3 2 2 4" xfId="15378"/>
    <cellStyle name="20% - Accent3 3 3 2 2 5" xfId="21506"/>
    <cellStyle name="20% - Accent3 3 3 2 3" xfId="2920"/>
    <cellStyle name="20% - Accent3 3 3 2 3 2" xfId="6057"/>
    <cellStyle name="20% - Accent3 3 3 2 3 2 2" xfId="12299"/>
    <cellStyle name="20% - Accent3 3 3 2 3 2 3" xfId="18454"/>
    <cellStyle name="20% - Accent3 3 3 2 3 2 4" xfId="24581"/>
    <cellStyle name="20% - Accent3 3 3 2 3 3" xfId="9211"/>
    <cellStyle name="20% - Accent3 3 3 2 3 4" xfId="15377"/>
    <cellStyle name="20% - Accent3 3 3 2 3 5" xfId="21505"/>
    <cellStyle name="20% - Accent3 3 3 2 4" xfId="5693"/>
    <cellStyle name="20% - Accent3 3 3 2 4 2" xfId="11935"/>
    <cellStyle name="20% - Accent3 3 3 2 4 3" xfId="18090"/>
    <cellStyle name="20% - Accent3 3 3 2 4 4" xfId="24217"/>
    <cellStyle name="20% - Accent3 3 3 2 5" xfId="8847"/>
    <cellStyle name="20% - Accent3 3 3 2 6" xfId="14297"/>
    <cellStyle name="20% - Accent3 3 3 2 7" xfId="21027"/>
    <cellStyle name="20% - Accent3 3 3 3" xfId="2205"/>
    <cellStyle name="20% - Accent3 3 3 3 2" xfId="2923"/>
    <cellStyle name="20% - Accent3 3 3 3 2 2" xfId="6060"/>
    <cellStyle name="20% - Accent3 3 3 3 2 2 2" xfId="12302"/>
    <cellStyle name="20% - Accent3 3 3 3 2 2 3" xfId="18457"/>
    <cellStyle name="20% - Accent3 3 3 3 2 2 4" xfId="24584"/>
    <cellStyle name="20% - Accent3 3 3 3 2 3" xfId="9214"/>
    <cellStyle name="20% - Accent3 3 3 3 2 4" xfId="15380"/>
    <cellStyle name="20% - Accent3 3 3 3 2 5" xfId="21508"/>
    <cellStyle name="20% - Accent3 3 3 3 3" xfId="2922"/>
    <cellStyle name="20% - Accent3 3 3 3 3 2" xfId="6059"/>
    <cellStyle name="20% - Accent3 3 3 3 3 2 2" xfId="12301"/>
    <cellStyle name="20% - Accent3 3 3 3 3 2 3" xfId="18456"/>
    <cellStyle name="20% - Accent3 3 3 3 3 2 4" xfId="24583"/>
    <cellStyle name="20% - Accent3 3 3 3 3 3" xfId="9213"/>
    <cellStyle name="20% - Accent3 3 3 3 3 4" xfId="15379"/>
    <cellStyle name="20% - Accent3 3 3 3 3 5" xfId="21507"/>
    <cellStyle name="20% - Accent3 3 3 3 4" xfId="5518"/>
    <cellStyle name="20% - Accent3 3 3 3 4 2" xfId="11760"/>
    <cellStyle name="20% - Accent3 3 3 3 4 3" xfId="17915"/>
    <cellStyle name="20% - Accent3 3 3 3 4 4" xfId="24042"/>
    <cellStyle name="20% - Accent3 3 3 3 5" xfId="8672"/>
    <cellStyle name="20% - Accent3 3 3 3 6" xfId="14298"/>
    <cellStyle name="20% - Accent3 3 3 3 7" xfId="20852"/>
    <cellStyle name="20% - Accent3 3 3 4" xfId="2924"/>
    <cellStyle name="20% - Accent3 3 3 4 2" xfId="6061"/>
    <cellStyle name="20% - Accent3 3 3 4 2 2" xfId="12303"/>
    <cellStyle name="20% - Accent3 3 3 4 2 3" xfId="18458"/>
    <cellStyle name="20% - Accent3 3 3 4 2 4" xfId="24585"/>
    <cellStyle name="20% - Accent3 3 3 4 3" xfId="9215"/>
    <cellStyle name="20% - Accent3 3 3 4 4" xfId="15381"/>
    <cellStyle name="20% - Accent3 3 3 4 5" xfId="21509"/>
    <cellStyle name="20% - Accent3 3 3 5" xfId="2925"/>
    <cellStyle name="20% - Accent3 3 3 5 2" xfId="6062"/>
    <cellStyle name="20% - Accent3 3 3 5 2 2" xfId="12304"/>
    <cellStyle name="20% - Accent3 3 3 5 2 3" xfId="18459"/>
    <cellStyle name="20% - Accent3 3 3 5 2 4" xfId="24586"/>
    <cellStyle name="20% - Accent3 3 3 5 3" xfId="9216"/>
    <cellStyle name="20% - Accent3 3 3 5 4" xfId="15382"/>
    <cellStyle name="20% - Accent3 3 3 5 5" xfId="21510"/>
    <cellStyle name="20% - Accent3 3 3 6" xfId="2919"/>
    <cellStyle name="20% - Accent3 3 3 6 2" xfId="6056"/>
    <cellStyle name="20% - Accent3 3 3 6 2 2" xfId="12298"/>
    <cellStyle name="20% - Accent3 3 3 6 2 3" xfId="18453"/>
    <cellStyle name="20% - Accent3 3 3 6 2 4" xfId="24580"/>
    <cellStyle name="20% - Accent3 3 3 6 3" xfId="9210"/>
    <cellStyle name="20% - Accent3 3 3 6 4" xfId="15376"/>
    <cellStyle name="20% - Accent3 3 3 6 5" xfId="21504"/>
    <cellStyle name="20% - Accent3 3 3 7" xfId="5336"/>
    <cellStyle name="20% - Accent3 3 3 7 2" xfId="11578"/>
    <cellStyle name="20% - Accent3 3 3 7 3" xfId="17733"/>
    <cellStyle name="20% - Accent3 3 3 7 4" xfId="23860"/>
    <cellStyle name="20% - Accent3 3 3 8" xfId="8491"/>
    <cellStyle name="20% - Accent3 3 3 9" xfId="14296"/>
    <cellStyle name="20% - Accent3 3 4" xfId="2297"/>
    <cellStyle name="20% - Accent3 3 4 2" xfId="2927"/>
    <cellStyle name="20% - Accent3 3 4 2 2" xfId="6064"/>
    <cellStyle name="20% - Accent3 3 4 2 2 2" xfId="12306"/>
    <cellStyle name="20% - Accent3 3 4 2 2 3" xfId="18461"/>
    <cellStyle name="20% - Accent3 3 4 2 2 4" xfId="24588"/>
    <cellStyle name="20% - Accent3 3 4 2 3" xfId="9218"/>
    <cellStyle name="20% - Accent3 3 4 2 4" xfId="15384"/>
    <cellStyle name="20% - Accent3 3 4 2 5" xfId="21512"/>
    <cellStyle name="20% - Accent3 3 4 3" xfId="2926"/>
    <cellStyle name="20% - Accent3 3 4 3 2" xfId="6063"/>
    <cellStyle name="20% - Accent3 3 4 3 2 2" xfId="12305"/>
    <cellStyle name="20% - Accent3 3 4 3 2 3" xfId="18460"/>
    <cellStyle name="20% - Accent3 3 4 3 2 4" xfId="24587"/>
    <cellStyle name="20% - Accent3 3 4 3 3" xfId="9217"/>
    <cellStyle name="20% - Accent3 3 4 3 4" xfId="15383"/>
    <cellStyle name="20% - Accent3 3 4 3 5" xfId="21511"/>
    <cellStyle name="20% - Accent3 3 4 4" xfId="5610"/>
    <cellStyle name="20% - Accent3 3 4 4 2" xfId="11852"/>
    <cellStyle name="20% - Accent3 3 4 4 3" xfId="18007"/>
    <cellStyle name="20% - Accent3 3 4 4 4" xfId="24134"/>
    <cellStyle name="20% - Accent3 3 4 5" xfId="8764"/>
    <cellStyle name="20% - Accent3 3 4 6" xfId="14299"/>
    <cellStyle name="20% - Accent3 3 4 7" xfId="20944"/>
    <cellStyle name="20% - Accent3 3 5" xfId="2130"/>
    <cellStyle name="20% - Accent3 3 5 2" xfId="2929"/>
    <cellStyle name="20% - Accent3 3 5 2 2" xfId="6066"/>
    <cellStyle name="20% - Accent3 3 5 2 2 2" xfId="12308"/>
    <cellStyle name="20% - Accent3 3 5 2 2 3" xfId="18463"/>
    <cellStyle name="20% - Accent3 3 5 2 2 4" xfId="24590"/>
    <cellStyle name="20% - Accent3 3 5 2 3" xfId="9220"/>
    <cellStyle name="20% - Accent3 3 5 2 4" xfId="15386"/>
    <cellStyle name="20% - Accent3 3 5 2 5" xfId="21514"/>
    <cellStyle name="20% - Accent3 3 5 3" xfId="2928"/>
    <cellStyle name="20% - Accent3 3 5 3 2" xfId="6065"/>
    <cellStyle name="20% - Accent3 3 5 3 2 2" xfId="12307"/>
    <cellStyle name="20% - Accent3 3 5 3 2 3" xfId="18462"/>
    <cellStyle name="20% - Accent3 3 5 3 2 4" xfId="24589"/>
    <cellStyle name="20% - Accent3 3 5 3 3" xfId="9219"/>
    <cellStyle name="20% - Accent3 3 5 3 4" xfId="15385"/>
    <cellStyle name="20% - Accent3 3 5 3 5" xfId="21513"/>
    <cellStyle name="20% - Accent3 3 5 4" xfId="5443"/>
    <cellStyle name="20% - Accent3 3 5 4 2" xfId="11685"/>
    <cellStyle name="20% - Accent3 3 5 4 3" xfId="17840"/>
    <cellStyle name="20% - Accent3 3 5 4 4" xfId="23967"/>
    <cellStyle name="20% - Accent3 3 5 5" xfId="8597"/>
    <cellStyle name="20% - Accent3 3 5 6" xfId="14300"/>
    <cellStyle name="20% - Accent3 3 5 7" xfId="20777"/>
    <cellStyle name="20% - Accent3 3 6" xfId="767"/>
    <cellStyle name="20% - Accent3 3 6 2" xfId="2931"/>
    <cellStyle name="20% - Accent3 3 6 2 2" xfId="6068"/>
    <cellStyle name="20% - Accent3 3 6 2 2 2" xfId="12310"/>
    <cellStyle name="20% - Accent3 3 6 2 2 3" xfId="18465"/>
    <cellStyle name="20% - Accent3 3 6 2 2 4" xfId="24592"/>
    <cellStyle name="20% - Accent3 3 6 2 3" xfId="9222"/>
    <cellStyle name="20% - Accent3 3 6 2 4" xfId="15388"/>
    <cellStyle name="20% - Accent3 3 6 2 5" xfId="21516"/>
    <cellStyle name="20% - Accent3 3 6 3" xfId="2930"/>
    <cellStyle name="20% - Accent3 3 6 3 2" xfId="6067"/>
    <cellStyle name="20% - Accent3 3 6 3 2 2" xfId="12309"/>
    <cellStyle name="20% - Accent3 3 6 3 2 3" xfId="18464"/>
    <cellStyle name="20% - Accent3 3 6 3 2 4" xfId="24591"/>
    <cellStyle name="20% - Accent3 3 6 3 3" xfId="9221"/>
    <cellStyle name="20% - Accent3 3 6 3 4" xfId="15387"/>
    <cellStyle name="20% - Accent3 3 6 3 5" xfId="21515"/>
    <cellStyle name="20% - Accent3 3 6 4" xfId="5116"/>
    <cellStyle name="20% - Accent3 3 6 4 2" xfId="11359"/>
    <cellStyle name="20% - Accent3 3 6 4 3" xfId="17514"/>
    <cellStyle name="20% - Accent3 3 6 4 4" xfId="23641"/>
    <cellStyle name="20% - Accent3 3 6 5" xfId="8273"/>
    <cellStyle name="20% - Accent3 3 6 6" xfId="14301"/>
    <cellStyle name="20% - Accent3 3 6 7" xfId="20456"/>
    <cellStyle name="20% - Accent3 3 7" xfId="214"/>
    <cellStyle name="20% - Accent3 3 7 2" xfId="2933"/>
    <cellStyle name="20% - Accent3 3 7 2 2" xfId="6070"/>
    <cellStyle name="20% - Accent3 3 7 2 2 2" xfId="12312"/>
    <cellStyle name="20% - Accent3 3 7 2 2 3" xfId="18467"/>
    <cellStyle name="20% - Accent3 3 7 2 2 4" xfId="24594"/>
    <cellStyle name="20% - Accent3 3 7 2 3" xfId="9224"/>
    <cellStyle name="20% - Accent3 3 7 2 4" xfId="15390"/>
    <cellStyle name="20% - Accent3 3 7 2 5" xfId="21518"/>
    <cellStyle name="20% - Accent3 3 7 3" xfId="2932"/>
    <cellStyle name="20% - Accent3 3 7 3 2" xfId="6069"/>
    <cellStyle name="20% - Accent3 3 7 3 2 2" xfId="12311"/>
    <cellStyle name="20% - Accent3 3 7 3 2 3" xfId="18466"/>
    <cellStyle name="20% - Accent3 3 7 3 2 4" xfId="24593"/>
    <cellStyle name="20% - Accent3 3 7 3 3" xfId="9223"/>
    <cellStyle name="20% - Accent3 3 7 3 4" xfId="15389"/>
    <cellStyle name="20% - Accent3 3 7 3 5" xfId="21517"/>
    <cellStyle name="20% - Accent3 3 7 4" xfId="4994"/>
    <cellStyle name="20% - Accent3 3 7 4 2" xfId="11237"/>
    <cellStyle name="20% - Accent3 3 7 4 3" xfId="17392"/>
    <cellStyle name="20% - Accent3 3 7 4 4" xfId="23519"/>
    <cellStyle name="20% - Accent3 3 7 5" xfId="8152"/>
    <cellStyle name="20% - Accent3 3 7 6" xfId="14302"/>
    <cellStyle name="20% - Accent3 3 7 7" xfId="21148"/>
    <cellStyle name="20% - Accent3 3 8" xfId="2934"/>
    <cellStyle name="20% - Accent3 3 8 2" xfId="6071"/>
    <cellStyle name="20% - Accent3 3 8 2 2" xfId="12313"/>
    <cellStyle name="20% - Accent3 3 8 2 3" xfId="18468"/>
    <cellStyle name="20% - Accent3 3 8 2 4" xfId="24595"/>
    <cellStyle name="20% - Accent3 3 8 3" xfId="9225"/>
    <cellStyle name="20% - Accent3 3 8 4" xfId="15391"/>
    <cellStyle name="20% - Accent3 3 8 5" xfId="21519"/>
    <cellStyle name="20% - Accent3 3 9" xfId="2935"/>
    <cellStyle name="20% - Accent3 3 9 2" xfId="6072"/>
    <cellStyle name="20% - Accent3 3 9 2 2" xfId="12314"/>
    <cellStyle name="20% - Accent3 3 9 2 3" xfId="18469"/>
    <cellStyle name="20% - Accent3 3 9 2 4" xfId="24596"/>
    <cellStyle name="20% - Accent3 3 9 3" xfId="9226"/>
    <cellStyle name="20% - Accent3 3 9 4" xfId="15392"/>
    <cellStyle name="20% - Accent3 3 9 5" xfId="21520"/>
    <cellStyle name="20% - Accent3 4" xfId="48"/>
    <cellStyle name="20% - Accent3 4 2" xfId="49"/>
    <cellStyle name="20% - Accent3 4 2 10" xfId="4904"/>
    <cellStyle name="20% - Accent3 4 2 10 2" xfId="11148"/>
    <cellStyle name="20% - Accent3 4 2 10 3" xfId="17303"/>
    <cellStyle name="20% - Accent3 4 2 10 4" xfId="23430"/>
    <cellStyle name="20% - Accent3 4 2 11" xfId="8062"/>
    <cellStyle name="20% - Accent3 4 2 12" xfId="14303"/>
    <cellStyle name="20% - Accent3 4 2 13" xfId="20342"/>
    <cellStyle name="20% - Accent3 4 2 2" xfId="1996"/>
    <cellStyle name="20% - Accent3 4 2 2 10" xfId="20673"/>
    <cellStyle name="20% - Accent3 4 2 2 2" xfId="2382"/>
    <cellStyle name="20% - Accent3 4 2 2 2 2" xfId="2939"/>
    <cellStyle name="20% - Accent3 4 2 2 2 2 2" xfId="6076"/>
    <cellStyle name="20% - Accent3 4 2 2 2 2 2 2" xfId="12318"/>
    <cellStyle name="20% - Accent3 4 2 2 2 2 2 3" xfId="18473"/>
    <cellStyle name="20% - Accent3 4 2 2 2 2 2 4" xfId="24600"/>
    <cellStyle name="20% - Accent3 4 2 2 2 2 3" xfId="9230"/>
    <cellStyle name="20% - Accent3 4 2 2 2 2 4" xfId="15396"/>
    <cellStyle name="20% - Accent3 4 2 2 2 2 5" xfId="21524"/>
    <cellStyle name="20% - Accent3 4 2 2 2 3" xfId="2938"/>
    <cellStyle name="20% - Accent3 4 2 2 2 3 2" xfId="6075"/>
    <cellStyle name="20% - Accent3 4 2 2 2 3 2 2" xfId="12317"/>
    <cellStyle name="20% - Accent3 4 2 2 2 3 2 3" xfId="18472"/>
    <cellStyle name="20% - Accent3 4 2 2 2 3 2 4" xfId="24599"/>
    <cellStyle name="20% - Accent3 4 2 2 2 3 3" xfId="9229"/>
    <cellStyle name="20% - Accent3 4 2 2 2 3 4" xfId="15395"/>
    <cellStyle name="20% - Accent3 4 2 2 2 3 5" xfId="21523"/>
    <cellStyle name="20% - Accent3 4 2 2 2 4" xfId="5695"/>
    <cellStyle name="20% - Accent3 4 2 2 2 4 2" xfId="11937"/>
    <cellStyle name="20% - Accent3 4 2 2 2 4 3" xfId="18092"/>
    <cellStyle name="20% - Accent3 4 2 2 2 4 4" xfId="24219"/>
    <cellStyle name="20% - Accent3 4 2 2 2 5" xfId="8849"/>
    <cellStyle name="20% - Accent3 4 2 2 2 6" xfId="14305"/>
    <cellStyle name="20% - Accent3 4 2 2 2 7" xfId="21029"/>
    <cellStyle name="20% - Accent3 4 2 2 3" xfId="2207"/>
    <cellStyle name="20% - Accent3 4 2 2 3 2" xfId="2941"/>
    <cellStyle name="20% - Accent3 4 2 2 3 2 2" xfId="6078"/>
    <cellStyle name="20% - Accent3 4 2 2 3 2 2 2" xfId="12320"/>
    <cellStyle name="20% - Accent3 4 2 2 3 2 2 3" xfId="18475"/>
    <cellStyle name="20% - Accent3 4 2 2 3 2 2 4" xfId="24602"/>
    <cellStyle name="20% - Accent3 4 2 2 3 2 3" xfId="9232"/>
    <cellStyle name="20% - Accent3 4 2 2 3 2 4" xfId="15398"/>
    <cellStyle name="20% - Accent3 4 2 2 3 2 5" xfId="21526"/>
    <cellStyle name="20% - Accent3 4 2 2 3 3" xfId="2940"/>
    <cellStyle name="20% - Accent3 4 2 2 3 3 2" xfId="6077"/>
    <cellStyle name="20% - Accent3 4 2 2 3 3 2 2" xfId="12319"/>
    <cellStyle name="20% - Accent3 4 2 2 3 3 2 3" xfId="18474"/>
    <cellStyle name="20% - Accent3 4 2 2 3 3 2 4" xfId="24601"/>
    <cellStyle name="20% - Accent3 4 2 2 3 3 3" xfId="9231"/>
    <cellStyle name="20% - Accent3 4 2 2 3 3 4" xfId="15397"/>
    <cellStyle name="20% - Accent3 4 2 2 3 3 5" xfId="21525"/>
    <cellStyle name="20% - Accent3 4 2 2 3 4" xfId="5520"/>
    <cellStyle name="20% - Accent3 4 2 2 3 4 2" xfId="11762"/>
    <cellStyle name="20% - Accent3 4 2 2 3 4 3" xfId="17917"/>
    <cellStyle name="20% - Accent3 4 2 2 3 4 4" xfId="24044"/>
    <cellStyle name="20% - Accent3 4 2 2 3 5" xfId="8674"/>
    <cellStyle name="20% - Accent3 4 2 2 3 6" xfId="14306"/>
    <cellStyle name="20% - Accent3 4 2 2 3 7" xfId="20854"/>
    <cellStyle name="20% - Accent3 4 2 2 4" xfId="2942"/>
    <cellStyle name="20% - Accent3 4 2 2 4 2" xfId="6079"/>
    <cellStyle name="20% - Accent3 4 2 2 4 2 2" xfId="12321"/>
    <cellStyle name="20% - Accent3 4 2 2 4 2 3" xfId="18476"/>
    <cellStyle name="20% - Accent3 4 2 2 4 2 4" xfId="24603"/>
    <cellStyle name="20% - Accent3 4 2 2 4 3" xfId="9233"/>
    <cellStyle name="20% - Accent3 4 2 2 4 4" xfId="15399"/>
    <cellStyle name="20% - Accent3 4 2 2 4 5" xfId="21527"/>
    <cellStyle name="20% - Accent3 4 2 2 5" xfId="2943"/>
    <cellStyle name="20% - Accent3 4 2 2 5 2" xfId="6080"/>
    <cellStyle name="20% - Accent3 4 2 2 5 2 2" xfId="12322"/>
    <cellStyle name="20% - Accent3 4 2 2 5 2 3" xfId="18477"/>
    <cellStyle name="20% - Accent3 4 2 2 5 2 4" xfId="24604"/>
    <cellStyle name="20% - Accent3 4 2 2 5 3" xfId="9234"/>
    <cellStyle name="20% - Accent3 4 2 2 5 4" xfId="15400"/>
    <cellStyle name="20% - Accent3 4 2 2 5 5" xfId="21528"/>
    <cellStyle name="20% - Accent3 4 2 2 6" xfId="2937"/>
    <cellStyle name="20% - Accent3 4 2 2 6 2" xfId="6074"/>
    <cellStyle name="20% - Accent3 4 2 2 6 2 2" xfId="12316"/>
    <cellStyle name="20% - Accent3 4 2 2 6 2 3" xfId="18471"/>
    <cellStyle name="20% - Accent3 4 2 2 6 2 4" xfId="24598"/>
    <cellStyle name="20% - Accent3 4 2 2 6 3" xfId="9228"/>
    <cellStyle name="20% - Accent3 4 2 2 6 4" xfId="15394"/>
    <cellStyle name="20% - Accent3 4 2 2 6 5" xfId="21522"/>
    <cellStyle name="20% - Accent3 4 2 2 7" xfId="5338"/>
    <cellStyle name="20% - Accent3 4 2 2 7 2" xfId="11580"/>
    <cellStyle name="20% - Accent3 4 2 2 7 3" xfId="17735"/>
    <cellStyle name="20% - Accent3 4 2 2 7 4" xfId="23862"/>
    <cellStyle name="20% - Accent3 4 2 2 8" xfId="8493"/>
    <cellStyle name="20% - Accent3 4 2 2 9" xfId="14304"/>
    <cellStyle name="20% - Accent3 4 2 3" xfId="2299"/>
    <cellStyle name="20% - Accent3 4 2 3 2" xfId="2945"/>
    <cellStyle name="20% - Accent3 4 2 3 2 2" xfId="6082"/>
    <cellStyle name="20% - Accent3 4 2 3 2 2 2" xfId="12324"/>
    <cellStyle name="20% - Accent3 4 2 3 2 2 3" xfId="18479"/>
    <cellStyle name="20% - Accent3 4 2 3 2 2 4" xfId="24606"/>
    <cellStyle name="20% - Accent3 4 2 3 2 3" xfId="9236"/>
    <cellStyle name="20% - Accent3 4 2 3 2 4" xfId="15402"/>
    <cellStyle name="20% - Accent3 4 2 3 2 5" xfId="21530"/>
    <cellStyle name="20% - Accent3 4 2 3 3" xfId="2944"/>
    <cellStyle name="20% - Accent3 4 2 3 3 2" xfId="6081"/>
    <cellStyle name="20% - Accent3 4 2 3 3 2 2" xfId="12323"/>
    <cellStyle name="20% - Accent3 4 2 3 3 2 3" xfId="18478"/>
    <cellStyle name="20% - Accent3 4 2 3 3 2 4" xfId="24605"/>
    <cellStyle name="20% - Accent3 4 2 3 3 3" xfId="9235"/>
    <cellStyle name="20% - Accent3 4 2 3 3 4" xfId="15401"/>
    <cellStyle name="20% - Accent3 4 2 3 3 5" xfId="21529"/>
    <cellStyle name="20% - Accent3 4 2 3 4" xfId="5612"/>
    <cellStyle name="20% - Accent3 4 2 3 4 2" xfId="11854"/>
    <cellStyle name="20% - Accent3 4 2 3 4 3" xfId="18009"/>
    <cellStyle name="20% - Accent3 4 2 3 4 4" xfId="24136"/>
    <cellStyle name="20% - Accent3 4 2 3 5" xfId="8766"/>
    <cellStyle name="20% - Accent3 4 2 3 6" xfId="14307"/>
    <cellStyle name="20% - Accent3 4 2 3 7" xfId="20946"/>
    <cellStyle name="20% - Accent3 4 2 4" xfId="2132"/>
    <cellStyle name="20% - Accent3 4 2 4 2" xfId="2947"/>
    <cellStyle name="20% - Accent3 4 2 4 2 2" xfId="6084"/>
    <cellStyle name="20% - Accent3 4 2 4 2 2 2" xfId="12326"/>
    <cellStyle name="20% - Accent3 4 2 4 2 2 3" xfId="18481"/>
    <cellStyle name="20% - Accent3 4 2 4 2 2 4" xfId="24608"/>
    <cellStyle name="20% - Accent3 4 2 4 2 3" xfId="9238"/>
    <cellStyle name="20% - Accent3 4 2 4 2 4" xfId="15404"/>
    <cellStyle name="20% - Accent3 4 2 4 2 5" xfId="21532"/>
    <cellStyle name="20% - Accent3 4 2 4 3" xfId="2946"/>
    <cellStyle name="20% - Accent3 4 2 4 3 2" xfId="6083"/>
    <cellStyle name="20% - Accent3 4 2 4 3 2 2" xfId="12325"/>
    <cellStyle name="20% - Accent3 4 2 4 3 2 3" xfId="18480"/>
    <cellStyle name="20% - Accent3 4 2 4 3 2 4" xfId="24607"/>
    <cellStyle name="20% - Accent3 4 2 4 3 3" xfId="9237"/>
    <cellStyle name="20% - Accent3 4 2 4 3 4" xfId="15403"/>
    <cellStyle name="20% - Accent3 4 2 4 3 5" xfId="21531"/>
    <cellStyle name="20% - Accent3 4 2 4 4" xfId="5445"/>
    <cellStyle name="20% - Accent3 4 2 4 4 2" xfId="11687"/>
    <cellStyle name="20% - Accent3 4 2 4 4 3" xfId="17842"/>
    <cellStyle name="20% - Accent3 4 2 4 4 4" xfId="23969"/>
    <cellStyle name="20% - Accent3 4 2 4 5" xfId="8599"/>
    <cellStyle name="20% - Accent3 4 2 4 6" xfId="14308"/>
    <cellStyle name="20% - Accent3 4 2 4 7" xfId="20779"/>
    <cellStyle name="20% - Accent3 4 2 5" xfId="769"/>
    <cellStyle name="20% - Accent3 4 2 5 2" xfId="2949"/>
    <cellStyle name="20% - Accent3 4 2 5 2 2" xfId="6086"/>
    <cellStyle name="20% - Accent3 4 2 5 2 2 2" xfId="12328"/>
    <cellStyle name="20% - Accent3 4 2 5 2 2 3" xfId="18483"/>
    <cellStyle name="20% - Accent3 4 2 5 2 2 4" xfId="24610"/>
    <cellStyle name="20% - Accent3 4 2 5 2 3" xfId="9240"/>
    <cellStyle name="20% - Accent3 4 2 5 2 4" xfId="15406"/>
    <cellStyle name="20% - Accent3 4 2 5 2 5" xfId="21534"/>
    <cellStyle name="20% - Accent3 4 2 5 3" xfId="2948"/>
    <cellStyle name="20% - Accent3 4 2 5 3 2" xfId="6085"/>
    <cellStyle name="20% - Accent3 4 2 5 3 2 2" xfId="12327"/>
    <cellStyle name="20% - Accent3 4 2 5 3 2 3" xfId="18482"/>
    <cellStyle name="20% - Accent3 4 2 5 3 2 4" xfId="24609"/>
    <cellStyle name="20% - Accent3 4 2 5 3 3" xfId="9239"/>
    <cellStyle name="20% - Accent3 4 2 5 3 4" xfId="15405"/>
    <cellStyle name="20% - Accent3 4 2 5 3 5" xfId="21533"/>
    <cellStyle name="20% - Accent3 4 2 5 4" xfId="5118"/>
    <cellStyle name="20% - Accent3 4 2 5 4 2" xfId="11361"/>
    <cellStyle name="20% - Accent3 4 2 5 4 3" xfId="17516"/>
    <cellStyle name="20% - Accent3 4 2 5 4 4" xfId="23643"/>
    <cellStyle name="20% - Accent3 4 2 5 5" xfId="8275"/>
    <cellStyle name="20% - Accent3 4 2 5 6" xfId="14309"/>
    <cellStyle name="20% - Accent3 4 2 5 7" xfId="20458"/>
    <cellStyle name="20% - Accent3 4 2 6" xfId="216"/>
    <cellStyle name="20% - Accent3 4 2 6 2" xfId="2951"/>
    <cellStyle name="20% - Accent3 4 2 6 2 2" xfId="6088"/>
    <cellStyle name="20% - Accent3 4 2 6 2 2 2" xfId="12330"/>
    <cellStyle name="20% - Accent3 4 2 6 2 2 3" xfId="18485"/>
    <cellStyle name="20% - Accent3 4 2 6 2 2 4" xfId="24612"/>
    <cellStyle name="20% - Accent3 4 2 6 2 3" xfId="9242"/>
    <cellStyle name="20% - Accent3 4 2 6 2 4" xfId="15408"/>
    <cellStyle name="20% - Accent3 4 2 6 2 5" xfId="21536"/>
    <cellStyle name="20% - Accent3 4 2 6 3" xfId="2950"/>
    <cellStyle name="20% - Accent3 4 2 6 3 2" xfId="6087"/>
    <cellStyle name="20% - Accent3 4 2 6 3 2 2" xfId="12329"/>
    <cellStyle name="20% - Accent3 4 2 6 3 2 3" xfId="18484"/>
    <cellStyle name="20% - Accent3 4 2 6 3 2 4" xfId="24611"/>
    <cellStyle name="20% - Accent3 4 2 6 3 3" xfId="9241"/>
    <cellStyle name="20% - Accent3 4 2 6 3 4" xfId="15407"/>
    <cellStyle name="20% - Accent3 4 2 6 3 5" xfId="21535"/>
    <cellStyle name="20% - Accent3 4 2 6 4" xfId="4996"/>
    <cellStyle name="20% - Accent3 4 2 6 4 2" xfId="11239"/>
    <cellStyle name="20% - Accent3 4 2 6 4 3" xfId="17394"/>
    <cellStyle name="20% - Accent3 4 2 6 4 4" xfId="23521"/>
    <cellStyle name="20% - Accent3 4 2 6 5" xfId="8154"/>
    <cellStyle name="20% - Accent3 4 2 6 6" xfId="14310"/>
    <cellStyle name="20% - Accent3 4 2 6 7" xfId="21150"/>
    <cellStyle name="20% - Accent3 4 2 7" xfId="2952"/>
    <cellStyle name="20% - Accent3 4 2 7 2" xfId="6089"/>
    <cellStyle name="20% - Accent3 4 2 7 2 2" xfId="12331"/>
    <cellStyle name="20% - Accent3 4 2 7 2 3" xfId="18486"/>
    <cellStyle name="20% - Accent3 4 2 7 2 4" xfId="24613"/>
    <cellStyle name="20% - Accent3 4 2 7 3" xfId="9243"/>
    <cellStyle name="20% - Accent3 4 2 7 4" xfId="15409"/>
    <cellStyle name="20% - Accent3 4 2 7 5" xfId="21537"/>
    <cellStyle name="20% - Accent3 4 2 8" xfId="2953"/>
    <cellStyle name="20% - Accent3 4 2 8 2" xfId="6090"/>
    <cellStyle name="20% - Accent3 4 2 8 2 2" xfId="12332"/>
    <cellStyle name="20% - Accent3 4 2 8 2 3" xfId="18487"/>
    <cellStyle name="20% - Accent3 4 2 8 2 4" xfId="24614"/>
    <cellStyle name="20% - Accent3 4 2 8 3" xfId="9244"/>
    <cellStyle name="20% - Accent3 4 2 8 4" xfId="15410"/>
    <cellStyle name="20% - Accent3 4 2 8 5" xfId="21538"/>
    <cellStyle name="20% - Accent3 4 2 9" xfId="2936"/>
    <cellStyle name="20% - Accent3 4 2 9 2" xfId="6073"/>
    <cellStyle name="20% - Accent3 4 2 9 2 2" xfId="12315"/>
    <cellStyle name="20% - Accent3 4 2 9 2 3" xfId="18470"/>
    <cellStyle name="20% - Accent3 4 2 9 2 4" xfId="24597"/>
    <cellStyle name="20% - Accent3 4 2 9 3" xfId="9227"/>
    <cellStyle name="20% - Accent3 4 2 9 4" xfId="15393"/>
    <cellStyle name="20% - Accent3 4 2 9 5" xfId="21521"/>
    <cellStyle name="20% - Accent3 5" xfId="471"/>
    <cellStyle name="20% - Accent3 5 2" xfId="2955"/>
    <cellStyle name="20% - Accent3 5 2 2" xfId="6092"/>
    <cellStyle name="20% - Accent3 5 2 2 2" xfId="12334"/>
    <cellStyle name="20% - Accent3 5 2 2 3" xfId="18489"/>
    <cellStyle name="20% - Accent3 5 2 2 4" xfId="24616"/>
    <cellStyle name="20% - Accent3 5 2 3" xfId="9246"/>
    <cellStyle name="20% - Accent3 5 2 4" xfId="15412"/>
    <cellStyle name="20% - Accent3 5 2 5" xfId="21540"/>
    <cellStyle name="20% - Accent3 5 3" xfId="2956"/>
    <cellStyle name="20% - Accent3 5 3 2" xfId="6093"/>
    <cellStyle name="20% - Accent3 5 3 2 2" xfId="12335"/>
    <cellStyle name="20% - Accent3 5 3 2 3" xfId="18490"/>
    <cellStyle name="20% - Accent3 5 3 2 4" xfId="24617"/>
    <cellStyle name="20% - Accent3 5 3 3" xfId="9247"/>
    <cellStyle name="20% - Accent3 5 3 4" xfId="15413"/>
    <cellStyle name="20% - Accent3 5 3 5" xfId="21541"/>
    <cellStyle name="20% - Accent3 5 4" xfId="2954"/>
    <cellStyle name="20% - Accent3 5 4 2" xfId="6091"/>
    <cellStyle name="20% - Accent3 5 4 2 2" xfId="12333"/>
    <cellStyle name="20% - Accent3 5 4 2 3" xfId="18488"/>
    <cellStyle name="20% - Accent3 5 4 2 4" xfId="24615"/>
    <cellStyle name="20% - Accent3 5 4 3" xfId="9245"/>
    <cellStyle name="20% - Accent3 5 4 4" xfId="15411"/>
    <cellStyle name="20% - Accent3 5 4 5" xfId="21539"/>
    <cellStyle name="20% - Accent3 5 5" xfId="5089"/>
    <cellStyle name="20% - Accent3 5 5 2" xfId="11332"/>
    <cellStyle name="20% - Accent3 5 5 3" xfId="17487"/>
    <cellStyle name="20% - Accent3 5 5 4" xfId="23614"/>
    <cellStyle name="20% - Accent3 5 6" xfId="8248"/>
    <cellStyle name="20% - Accent3 5 7" xfId="14311"/>
    <cellStyle name="20% - Accent3 5 8" xfId="20434"/>
    <cellStyle name="20% - Accent3 6" xfId="190"/>
    <cellStyle name="20% - Accent3 6 2" xfId="2958"/>
    <cellStyle name="20% - Accent3 6 2 2" xfId="6095"/>
    <cellStyle name="20% - Accent3 6 2 2 2" xfId="12337"/>
    <cellStyle name="20% - Accent3 6 2 2 3" xfId="18492"/>
    <cellStyle name="20% - Accent3 6 2 2 4" xfId="24619"/>
    <cellStyle name="20% - Accent3 6 2 3" xfId="9249"/>
    <cellStyle name="20% - Accent3 6 2 4" xfId="15415"/>
    <cellStyle name="20% - Accent3 6 2 5" xfId="21543"/>
    <cellStyle name="20% - Accent3 6 3" xfId="2957"/>
    <cellStyle name="20% - Accent3 6 3 2" xfId="6094"/>
    <cellStyle name="20% - Accent3 6 3 2 2" xfId="12336"/>
    <cellStyle name="20% - Accent3 6 3 2 3" xfId="18491"/>
    <cellStyle name="20% - Accent3 6 3 2 4" xfId="24618"/>
    <cellStyle name="20% - Accent3 6 3 3" xfId="9248"/>
    <cellStyle name="20% - Accent3 6 3 4" xfId="15414"/>
    <cellStyle name="20% - Accent3 6 3 5" xfId="21542"/>
    <cellStyle name="20% - Accent3 6 4" xfId="4971"/>
    <cellStyle name="20% - Accent3 6 4 2" xfId="11214"/>
    <cellStyle name="20% - Accent3 6 4 3" xfId="17369"/>
    <cellStyle name="20% - Accent3 6 4 4" xfId="23496"/>
    <cellStyle name="20% - Accent3 6 5" xfId="8129"/>
    <cellStyle name="20% - Accent3 6 6" xfId="15094"/>
    <cellStyle name="20% - Accent3 6 7" xfId="21222"/>
    <cellStyle name="20% - Accent3 7" xfId="2959"/>
    <cellStyle name="20% - Accent3 7 2" xfId="6096"/>
    <cellStyle name="20% - Accent3 7 2 2" xfId="12338"/>
    <cellStyle name="20% - Accent3 7 2 3" xfId="18493"/>
    <cellStyle name="20% - Accent3 7 2 4" xfId="24620"/>
    <cellStyle name="20% - Accent3 7 3" xfId="9250"/>
    <cellStyle name="20% - Accent3 7 4" xfId="15416"/>
    <cellStyle name="20% - Accent3 7 5" xfId="21544"/>
    <cellStyle name="20% - Accent3 8" xfId="4854"/>
    <cellStyle name="20% - Accent3 8 2" xfId="7899"/>
    <cellStyle name="20% - Accent3 8 2 2" xfId="14141"/>
    <cellStyle name="20% - Accent3 8 2 3" xfId="20296"/>
    <cellStyle name="20% - Accent3 8 2 4" xfId="26423"/>
    <cellStyle name="20% - Accent3 8 3" xfId="11110"/>
    <cellStyle name="20% - Accent3 8 4" xfId="17265"/>
    <cellStyle name="20% - Accent3 8 5" xfId="23392"/>
    <cellStyle name="20% - Accent3 9" xfId="4880"/>
    <cellStyle name="20% - Accent3 9 2" xfId="11126"/>
    <cellStyle name="20% - Accent3 9 3" xfId="17281"/>
    <cellStyle name="20% - Accent3 9 4" xfId="23408"/>
    <cellStyle name="20% - Accent4 10" xfId="15071"/>
    <cellStyle name="20% - Accent4 11" xfId="20318"/>
    <cellStyle name="20% - Accent4 2" xfId="50"/>
    <cellStyle name="20% - Accent4 2 10" xfId="2960"/>
    <cellStyle name="20% - Accent4 2 10 2" xfId="6097"/>
    <cellStyle name="20% - Accent4 2 10 2 2" xfId="12339"/>
    <cellStyle name="20% - Accent4 2 10 2 3" xfId="18494"/>
    <cellStyle name="20% - Accent4 2 10 2 4" xfId="24621"/>
    <cellStyle name="20% - Accent4 2 10 3" xfId="9251"/>
    <cellStyle name="20% - Accent4 2 10 4" xfId="15417"/>
    <cellStyle name="20% - Accent4 2 10 5" xfId="21545"/>
    <cellStyle name="20% - Accent4 2 11" xfId="4905"/>
    <cellStyle name="20% - Accent4 2 11 2" xfId="11149"/>
    <cellStyle name="20% - Accent4 2 11 3" xfId="17304"/>
    <cellStyle name="20% - Accent4 2 11 4" xfId="23431"/>
    <cellStyle name="20% - Accent4 2 12" xfId="8063"/>
    <cellStyle name="20% - Accent4 2 13" xfId="14312"/>
    <cellStyle name="20% - Accent4 2 14" xfId="20343"/>
    <cellStyle name="20% - Accent4 2 2" xfId="51"/>
    <cellStyle name="20% - Accent4 2 2 10" xfId="4906"/>
    <cellStyle name="20% - Accent4 2 2 10 2" xfId="11150"/>
    <cellStyle name="20% - Accent4 2 2 10 3" xfId="17305"/>
    <cellStyle name="20% - Accent4 2 2 10 4" xfId="23432"/>
    <cellStyle name="20% - Accent4 2 2 11" xfId="8064"/>
    <cellStyle name="20% - Accent4 2 2 12" xfId="14313"/>
    <cellStyle name="20% - Accent4 2 2 13" xfId="20344"/>
    <cellStyle name="20% - Accent4 2 2 2" xfId="1998"/>
    <cellStyle name="20% - Accent4 2 2 2 10" xfId="20675"/>
    <cellStyle name="20% - Accent4 2 2 2 2" xfId="2384"/>
    <cellStyle name="20% - Accent4 2 2 2 2 2" xfId="2964"/>
    <cellStyle name="20% - Accent4 2 2 2 2 2 2" xfId="6101"/>
    <cellStyle name="20% - Accent4 2 2 2 2 2 2 2" xfId="12343"/>
    <cellStyle name="20% - Accent4 2 2 2 2 2 2 3" xfId="18498"/>
    <cellStyle name="20% - Accent4 2 2 2 2 2 2 4" xfId="24625"/>
    <cellStyle name="20% - Accent4 2 2 2 2 2 3" xfId="9255"/>
    <cellStyle name="20% - Accent4 2 2 2 2 2 4" xfId="15421"/>
    <cellStyle name="20% - Accent4 2 2 2 2 2 5" xfId="21549"/>
    <cellStyle name="20% - Accent4 2 2 2 2 3" xfId="2963"/>
    <cellStyle name="20% - Accent4 2 2 2 2 3 2" xfId="6100"/>
    <cellStyle name="20% - Accent4 2 2 2 2 3 2 2" xfId="12342"/>
    <cellStyle name="20% - Accent4 2 2 2 2 3 2 3" xfId="18497"/>
    <cellStyle name="20% - Accent4 2 2 2 2 3 2 4" xfId="24624"/>
    <cellStyle name="20% - Accent4 2 2 2 2 3 3" xfId="9254"/>
    <cellStyle name="20% - Accent4 2 2 2 2 3 4" xfId="15420"/>
    <cellStyle name="20% - Accent4 2 2 2 2 3 5" xfId="21548"/>
    <cellStyle name="20% - Accent4 2 2 2 2 4" xfId="5697"/>
    <cellStyle name="20% - Accent4 2 2 2 2 4 2" xfId="11939"/>
    <cellStyle name="20% - Accent4 2 2 2 2 4 3" xfId="18094"/>
    <cellStyle name="20% - Accent4 2 2 2 2 4 4" xfId="24221"/>
    <cellStyle name="20% - Accent4 2 2 2 2 5" xfId="8851"/>
    <cellStyle name="20% - Accent4 2 2 2 2 6" xfId="14315"/>
    <cellStyle name="20% - Accent4 2 2 2 2 7" xfId="21031"/>
    <cellStyle name="20% - Accent4 2 2 2 3" xfId="2209"/>
    <cellStyle name="20% - Accent4 2 2 2 3 2" xfId="2966"/>
    <cellStyle name="20% - Accent4 2 2 2 3 2 2" xfId="6103"/>
    <cellStyle name="20% - Accent4 2 2 2 3 2 2 2" xfId="12345"/>
    <cellStyle name="20% - Accent4 2 2 2 3 2 2 3" xfId="18500"/>
    <cellStyle name="20% - Accent4 2 2 2 3 2 2 4" xfId="24627"/>
    <cellStyle name="20% - Accent4 2 2 2 3 2 3" xfId="9257"/>
    <cellStyle name="20% - Accent4 2 2 2 3 2 4" xfId="15423"/>
    <cellStyle name="20% - Accent4 2 2 2 3 2 5" xfId="21551"/>
    <cellStyle name="20% - Accent4 2 2 2 3 3" xfId="2965"/>
    <cellStyle name="20% - Accent4 2 2 2 3 3 2" xfId="6102"/>
    <cellStyle name="20% - Accent4 2 2 2 3 3 2 2" xfId="12344"/>
    <cellStyle name="20% - Accent4 2 2 2 3 3 2 3" xfId="18499"/>
    <cellStyle name="20% - Accent4 2 2 2 3 3 2 4" xfId="24626"/>
    <cellStyle name="20% - Accent4 2 2 2 3 3 3" xfId="9256"/>
    <cellStyle name="20% - Accent4 2 2 2 3 3 4" xfId="15422"/>
    <cellStyle name="20% - Accent4 2 2 2 3 3 5" xfId="21550"/>
    <cellStyle name="20% - Accent4 2 2 2 3 4" xfId="5522"/>
    <cellStyle name="20% - Accent4 2 2 2 3 4 2" xfId="11764"/>
    <cellStyle name="20% - Accent4 2 2 2 3 4 3" xfId="17919"/>
    <cellStyle name="20% - Accent4 2 2 2 3 4 4" xfId="24046"/>
    <cellStyle name="20% - Accent4 2 2 2 3 5" xfId="8676"/>
    <cellStyle name="20% - Accent4 2 2 2 3 6" xfId="14316"/>
    <cellStyle name="20% - Accent4 2 2 2 3 7" xfId="20856"/>
    <cellStyle name="20% - Accent4 2 2 2 4" xfId="2967"/>
    <cellStyle name="20% - Accent4 2 2 2 4 2" xfId="6104"/>
    <cellStyle name="20% - Accent4 2 2 2 4 2 2" xfId="12346"/>
    <cellStyle name="20% - Accent4 2 2 2 4 2 3" xfId="18501"/>
    <cellStyle name="20% - Accent4 2 2 2 4 2 4" xfId="24628"/>
    <cellStyle name="20% - Accent4 2 2 2 4 3" xfId="9258"/>
    <cellStyle name="20% - Accent4 2 2 2 4 4" xfId="15424"/>
    <cellStyle name="20% - Accent4 2 2 2 4 5" xfId="21552"/>
    <cellStyle name="20% - Accent4 2 2 2 5" xfId="2968"/>
    <cellStyle name="20% - Accent4 2 2 2 5 2" xfId="6105"/>
    <cellStyle name="20% - Accent4 2 2 2 5 2 2" xfId="12347"/>
    <cellStyle name="20% - Accent4 2 2 2 5 2 3" xfId="18502"/>
    <cellStyle name="20% - Accent4 2 2 2 5 2 4" xfId="24629"/>
    <cellStyle name="20% - Accent4 2 2 2 5 3" xfId="9259"/>
    <cellStyle name="20% - Accent4 2 2 2 5 4" xfId="15425"/>
    <cellStyle name="20% - Accent4 2 2 2 5 5" xfId="21553"/>
    <cellStyle name="20% - Accent4 2 2 2 6" xfId="2962"/>
    <cellStyle name="20% - Accent4 2 2 2 6 2" xfId="6099"/>
    <cellStyle name="20% - Accent4 2 2 2 6 2 2" xfId="12341"/>
    <cellStyle name="20% - Accent4 2 2 2 6 2 3" xfId="18496"/>
    <cellStyle name="20% - Accent4 2 2 2 6 2 4" xfId="24623"/>
    <cellStyle name="20% - Accent4 2 2 2 6 3" xfId="9253"/>
    <cellStyle name="20% - Accent4 2 2 2 6 4" xfId="15419"/>
    <cellStyle name="20% - Accent4 2 2 2 6 5" xfId="21547"/>
    <cellStyle name="20% - Accent4 2 2 2 7" xfId="5340"/>
    <cellStyle name="20% - Accent4 2 2 2 7 2" xfId="11582"/>
    <cellStyle name="20% - Accent4 2 2 2 7 3" xfId="17737"/>
    <cellStyle name="20% - Accent4 2 2 2 7 4" xfId="23864"/>
    <cellStyle name="20% - Accent4 2 2 2 8" xfId="8495"/>
    <cellStyle name="20% - Accent4 2 2 2 9" xfId="14314"/>
    <cellStyle name="20% - Accent4 2 2 3" xfId="2301"/>
    <cellStyle name="20% - Accent4 2 2 3 2" xfId="2970"/>
    <cellStyle name="20% - Accent4 2 2 3 2 2" xfId="6107"/>
    <cellStyle name="20% - Accent4 2 2 3 2 2 2" xfId="12349"/>
    <cellStyle name="20% - Accent4 2 2 3 2 2 3" xfId="18504"/>
    <cellStyle name="20% - Accent4 2 2 3 2 2 4" xfId="24631"/>
    <cellStyle name="20% - Accent4 2 2 3 2 3" xfId="9261"/>
    <cellStyle name="20% - Accent4 2 2 3 2 4" xfId="15427"/>
    <cellStyle name="20% - Accent4 2 2 3 2 5" xfId="21555"/>
    <cellStyle name="20% - Accent4 2 2 3 3" xfId="2969"/>
    <cellStyle name="20% - Accent4 2 2 3 3 2" xfId="6106"/>
    <cellStyle name="20% - Accent4 2 2 3 3 2 2" xfId="12348"/>
    <cellStyle name="20% - Accent4 2 2 3 3 2 3" xfId="18503"/>
    <cellStyle name="20% - Accent4 2 2 3 3 2 4" xfId="24630"/>
    <cellStyle name="20% - Accent4 2 2 3 3 3" xfId="9260"/>
    <cellStyle name="20% - Accent4 2 2 3 3 4" xfId="15426"/>
    <cellStyle name="20% - Accent4 2 2 3 3 5" xfId="21554"/>
    <cellStyle name="20% - Accent4 2 2 3 4" xfId="5614"/>
    <cellStyle name="20% - Accent4 2 2 3 4 2" xfId="11856"/>
    <cellStyle name="20% - Accent4 2 2 3 4 3" xfId="18011"/>
    <cellStyle name="20% - Accent4 2 2 3 4 4" xfId="24138"/>
    <cellStyle name="20% - Accent4 2 2 3 5" xfId="8768"/>
    <cellStyle name="20% - Accent4 2 2 3 6" xfId="14317"/>
    <cellStyle name="20% - Accent4 2 2 3 7" xfId="20948"/>
    <cellStyle name="20% - Accent4 2 2 4" xfId="2134"/>
    <cellStyle name="20% - Accent4 2 2 4 2" xfId="2972"/>
    <cellStyle name="20% - Accent4 2 2 4 2 2" xfId="6109"/>
    <cellStyle name="20% - Accent4 2 2 4 2 2 2" xfId="12351"/>
    <cellStyle name="20% - Accent4 2 2 4 2 2 3" xfId="18506"/>
    <cellStyle name="20% - Accent4 2 2 4 2 2 4" xfId="24633"/>
    <cellStyle name="20% - Accent4 2 2 4 2 3" xfId="9263"/>
    <cellStyle name="20% - Accent4 2 2 4 2 4" xfId="15429"/>
    <cellStyle name="20% - Accent4 2 2 4 2 5" xfId="21557"/>
    <cellStyle name="20% - Accent4 2 2 4 3" xfId="2971"/>
    <cellStyle name="20% - Accent4 2 2 4 3 2" xfId="6108"/>
    <cellStyle name="20% - Accent4 2 2 4 3 2 2" xfId="12350"/>
    <cellStyle name="20% - Accent4 2 2 4 3 2 3" xfId="18505"/>
    <cellStyle name="20% - Accent4 2 2 4 3 2 4" xfId="24632"/>
    <cellStyle name="20% - Accent4 2 2 4 3 3" xfId="9262"/>
    <cellStyle name="20% - Accent4 2 2 4 3 4" xfId="15428"/>
    <cellStyle name="20% - Accent4 2 2 4 3 5" xfId="21556"/>
    <cellStyle name="20% - Accent4 2 2 4 4" xfId="5447"/>
    <cellStyle name="20% - Accent4 2 2 4 4 2" xfId="11689"/>
    <cellStyle name="20% - Accent4 2 2 4 4 3" xfId="17844"/>
    <cellStyle name="20% - Accent4 2 2 4 4 4" xfId="23971"/>
    <cellStyle name="20% - Accent4 2 2 4 5" xfId="8601"/>
    <cellStyle name="20% - Accent4 2 2 4 6" xfId="14318"/>
    <cellStyle name="20% - Accent4 2 2 4 7" xfId="20781"/>
    <cellStyle name="20% - Accent4 2 2 5" xfId="771"/>
    <cellStyle name="20% - Accent4 2 2 5 2" xfId="2974"/>
    <cellStyle name="20% - Accent4 2 2 5 2 2" xfId="6111"/>
    <cellStyle name="20% - Accent4 2 2 5 2 2 2" xfId="12353"/>
    <cellStyle name="20% - Accent4 2 2 5 2 2 3" xfId="18508"/>
    <cellStyle name="20% - Accent4 2 2 5 2 2 4" xfId="24635"/>
    <cellStyle name="20% - Accent4 2 2 5 2 3" xfId="9265"/>
    <cellStyle name="20% - Accent4 2 2 5 2 4" xfId="15431"/>
    <cellStyle name="20% - Accent4 2 2 5 2 5" xfId="21559"/>
    <cellStyle name="20% - Accent4 2 2 5 3" xfId="2973"/>
    <cellStyle name="20% - Accent4 2 2 5 3 2" xfId="6110"/>
    <cellStyle name="20% - Accent4 2 2 5 3 2 2" xfId="12352"/>
    <cellStyle name="20% - Accent4 2 2 5 3 2 3" xfId="18507"/>
    <cellStyle name="20% - Accent4 2 2 5 3 2 4" xfId="24634"/>
    <cellStyle name="20% - Accent4 2 2 5 3 3" xfId="9264"/>
    <cellStyle name="20% - Accent4 2 2 5 3 4" xfId="15430"/>
    <cellStyle name="20% - Accent4 2 2 5 3 5" xfId="21558"/>
    <cellStyle name="20% - Accent4 2 2 5 4" xfId="5120"/>
    <cellStyle name="20% - Accent4 2 2 5 4 2" xfId="11363"/>
    <cellStyle name="20% - Accent4 2 2 5 4 3" xfId="17518"/>
    <cellStyle name="20% - Accent4 2 2 5 4 4" xfId="23645"/>
    <cellStyle name="20% - Accent4 2 2 5 5" xfId="8277"/>
    <cellStyle name="20% - Accent4 2 2 5 6" xfId="14319"/>
    <cellStyle name="20% - Accent4 2 2 5 7" xfId="20460"/>
    <cellStyle name="20% - Accent4 2 2 6" xfId="218"/>
    <cellStyle name="20% - Accent4 2 2 6 2" xfId="2976"/>
    <cellStyle name="20% - Accent4 2 2 6 2 2" xfId="6113"/>
    <cellStyle name="20% - Accent4 2 2 6 2 2 2" xfId="12355"/>
    <cellStyle name="20% - Accent4 2 2 6 2 2 3" xfId="18510"/>
    <cellStyle name="20% - Accent4 2 2 6 2 2 4" xfId="24637"/>
    <cellStyle name="20% - Accent4 2 2 6 2 3" xfId="9267"/>
    <cellStyle name="20% - Accent4 2 2 6 2 4" xfId="15433"/>
    <cellStyle name="20% - Accent4 2 2 6 2 5" xfId="21561"/>
    <cellStyle name="20% - Accent4 2 2 6 3" xfId="2975"/>
    <cellStyle name="20% - Accent4 2 2 6 3 2" xfId="6112"/>
    <cellStyle name="20% - Accent4 2 2 6 3 2 2" xfId="12354"/>
    <cellStyle name="20% - Accent4 2 2 6 3 2 3" xfId="18509"/>
    <cellStyle name="20% - Accent4 2 2 6 3 2 4" xfId="24636"/>
    <cellStyle name="20% - Accent4 2 2 6 3 3" xfId="9266"/>
    <cellStyle name="20% - Accent4 2 2 6 3 4" xfId="15432"/>
    <cellStyle name="20% - Accent4 2 2 6 3 5" xfId="21560"/>
    <cellStyle name="20% - Accent4 2 2 6 4" xfId="4998"/>
    <cellStyle name="20% - Accent4 2 2 6 4 2" xfId="11241"/>
    <cellStyle name="20% - Accent4 2 2 6 4 3" xfId="17396"/>
    <cellStyle name="20% - Accent4 2 2 6 4 4" xfId="23523"/>
    <cellStyle name="20% - Accent4 2 2 6 5" xfId="8156"/>
    <cellStyle name="20% - Accent4 2 2 6 6" xfId="14320"/>
    <cellStyle name="20% - Accent4 2 2 6 7" xfId="21152"/>
    <cellStyle name="20% - Accent4 2 2 7" xfId="2977"/>
    <cellStyle name="20% - Accent4 2 2 7 2" xfId="6114"/>
    <cellStyle name="20% - Accent4 2 2 7 2 2" xfId="12356"/>
    <cellStyle name="20% - Accent4 2 2 7 2 3" xfId="18511"/>
    <cellStyle name="20% - Accent4 2 2 7 2 4" xfId="24638"/>
    <cellStyle name="20% - Accent4 2 2 7 3" xfId="9268"/>
    <cellStyle name="20% - Accent4 2 2 7 4" xfId="15434"/>
    <cellStyle name="20% - Accent4 2 2 7 5" xfId="21562"/>
    <cellStyle name="20% - Accent4 2 2 8" xfId="2978"/>
    <cellStyle name="20% - Accent4 2 2 8 2" xfId="6115"/>
    <cellStyle name="20% - Accent4 2 2 8 2 2" xfId="12357"/>
    <cellStyle name="20% - Accent4 2 2 8 2 3" xfId="18512"/>
    <cellStyle name="20% - Accent4 2 2 8 2 4" xfId="24639"/>
    <cellStyle name="20% - Accent4 2 2 8 3" xfId="9269"/>
    <cellStyle name="20% - Accent4 2 2 8 4" xfId="15435"/>
    <cellStyle name="20% - Accent4 2 2 8 5" xfId="21563"/>
    <cellStyle name="20% - Accent4 2 2 9" xfId="2961"/>
    <cellStyle name="20% - Accent4 2 2 9 2" xfId="6098"/>
    <cellStyle name="20% - Accent4 2 2 9 2 2" xfId="12340"/>
    <cellStyle name="20% - Accent4 2 2 9 2 3" xfId="18495"/>
    <cellStyle name="20% - Accent4 2 2 9 2 4" xfId="24622"/>
    <cellStyle name="20% - Accent4 2 2 9 3" xfId="9252"/>
    <cellStyle name="20% - Accent4 2 2 9 4" xfId="15418"/>
    <cellStyle name="20% - Accent4 2 2 9 5" xfId="21546"/>
    <cellStyle name="20% - Accent4 2 3" xfId="949"/>
    <cellStyle name="20% - Accent4 2 3 2" xfId="2383"/>
    <cellStyle name="20% - Accent4 2 3 2 2" xfId="2980"/>
    <cellStyle name="20% - Accent4 2 3 2 2 2" xfId="6117"/>
    <cellStyle name="20% - Accent4 2 3 2 2 2 2" xfId="12359"/>
    <cellStyle name="20% - Accent4 2 3 2 2 2 3" xfId="18514"/>
    <cellStyle name="20% - Accent4 2 3 2 2 2 4" xfId="24641"/>
    <cellStyle name="20% - Accent4 2 3 2 2 3" xfId="9271"/>
    <cellStyle name="20% - Accent4 2 3 2 2 4" xfId="15437"/>
    <cellStyle name="20% - Accent4 2 3 2 2 5" xfId="21565"/>
    <cellStyle name="20% - Accent4 2 3 2 3" xfId="2979"/>
    <cellStyle name="20% - Accent4 2 3 2 3 2" xfId="6116"/>
    <cellStyle name="20% - Accent4 2 3 2 3 2 2" xfId="12358"/>
    <cellStyle name="20% - Accent4 2 3 2 3 2 3" xfId="18513"/>
    <cellStyle name="20% - Accent4 2 3 2 3 2 4" xfId="24640"/>
    <cellStyle name="20% - Accent4 2 3 2 3 3" xfId="9270"/>
    <cellStyle name="20% - Accent4 2 3 2 3 4" xfId="15436"/>
    <cellStyle name="20% - Accent4 2 3 2 3 5" xfId="21564"/>
    <cellStyle name="20% - Accent4 2 3 2 4" xfId="5696"/>
    <cellStyle name="20% - Accent4 2 3 2 4 2" xfId="11938"/>
    <cellStyle name="20% - Accent4 2 3 2 4 3" xfId="18093"/>
    <cellStyle name="20% - Accent4 2 3 2 4 4" xfId="24220"/>
    <cellStyle name="20% - Accent4 2 3 2 5" xfId="8850"/>
    <cellStyle name="20% - Accent4 2 3 2 6" xfId="14321"/>
    <cellStyle name="20% - Accent4 2 3 2 7" xfId="21030"/>
    <cellStyle name="20% - Accent4 2 3 3" xfId="2208"/>
    <cellStyle name="20% - Accent4 2 3 3 2" xfId="2982"/>
    <cellStyle name="20% - Accent4 2 3 3 2 2" xfId="6119"/>
    <cellStyle name="20% - Accent4 2 3 3 2 2 2" xfId="12361"/>
    <cellStyle name="20% - Accent4 2 3 3 2 2 3" xfId="18516"/>
    <cellStyle name="20% - Accent4 2 3 3 2 2 4" xfId="24643"/>
    <cellStyle name="20% - Accent4 2 3 3 2 3" xfId="9273"/>
    <cellStyle name="20% - Accent4 2 3 3 2 4" xfId="15439"/>
    <cellStyle name="20% - Accent4 2 3 3 2 5" xfId="21567"/>
    <cellStyle name="20% - Accent4 2 3 3 3" xfId="2981"/>
    <cellStyle name="20% - Accent4 2 3 3 3 2" xfId="6118"/>
    <cellStyle name="20% - Accent4 2 3 3 3 2 2" xfId="12360"/>
    <cellStyle name="20% - Accent4 2 3 3 3 2 3" xfId="18515"/>
    <cellStyle name="20% - Accent4 2 3 3 3 2 4" xfId="24642"/>
    <cellStyle name="20% - Accent4 2 3 3 3 3" xfId="9272"/>
    <cellStyle name="20% - Accent4 2 3 3 3 4" xfId="15438"/>
    <cellStyle name="20% - Accent4 2 3 3 3 5" xfId="21566"/>
    <cellStyle name="20% - Accent4 2 3 3 4" xfId="5521"/>
    <cellStyle name="20% - Accent4 2 3 3 4 2" xfId="11763"/>
    <cellStyle name="20% - Accent4 2 3 3 4 3" xfId="17918"/>
    <cellStyle name="20% - Accent4 2 3 3 4 4" xfId="24045"/>
    <cellStyle name="20% - Accent4 2 3 3 5" xfId="8675"/>
    <cellStyle name="20% - Accent4 2 3 3 6" xfId="14322"/>
    <cellStyle name="20% - Accent4 2 3 3 7" xfId="20855"/>
    <cellStyle name="20% - Accent4 2 3 4" xfId="1997"/>
    <cellStyle name="20% - Accent4 2 3 4 2" xfId="2984"/>
    <cellStyle name="20% - Accent4 2 3 4 2 2" xfId="6121"/>
    <cellStyle name="20% - Accent4 2 3 4 2 2 2" xfId="12363"/>
    <cellStyle name="20% - Accent4 2 3 4 2 2 3" xfId="18518"/>
    <cellStyle name="20% - Accent4 2 3 4 2 2 4" xfId="24645"/>
    <cellStyle name="20% - Accent4 2 3 4 2 3" xfId="9275"/>
    <cellStyle name="20% - Accent4 2 3 4 2 4" xfId="15441"/>
    <cellStyle name="20% - Accent4 2 3 4 2 5" xfId="21569"/>
    <cellStyle name="20% - Accent4 2 3 4 3" xfId="2983"/>
    <cellStyle name="20% - Accent4 2 3 4 3 2" xfId="6120"/>
    <cellStyle name="20% - Accent4 2 3 4 3 2 2" xfId="12362"/>
    <cellStyle name="20% - Accent4 2 3 4 3 2 3" xfId="18517"/>
    <cellStyle name="20% - Accent4 2 3 4 3 2 4" xfId="24644"/>
    <cellStyle name="20% - Accent4 2 3 4 3 3" xfId="9274"/>
    <cellStyle name="20% - Accent4 2 3 4 3 4" xfId="15440"/>
    <cellStyle name="20% - Accent4 2 3 4 3 5" xfId="21568"/>
    <cellStyle name="20% - Accent4 2 3 4 4" xfId="5339"/>
    <cellStyle name="20% - Accent4 2 3 4 4 2" xfId="11581"/>
    <cellStyle name="20% - Accent4 2 3 4 4 3" xfId="17736"/>
    <cellStyle name="20% - Accent4 2 3 4 4 4" xfId="23863"/>
    <cellStyle name="20% - Accent4 2 3 4 5" xfId="8494"/>
    <cellStyle name="20% - Accent4 2 3 4 6" xfId="14323"/>
    <cellStyle name="20% - Accent4 2 3 4 7" xfId="20674"/>
    <cellStyle name="20% - Accent4 2 3 5" xfId="2985"/>
    <cellStyle name="20% - Accent4 2 3 6" xfId="2986"/>
    <cellStyle name="20% - Accent4 2 3 6 2" xfId="6122"/>
    <cellStyle name="20% - Accent4 2 3 6 2 2" xfId="12364"/>
    <cellStyle name="20% - Accent4 2 3 6 2 3" xfId="18519"/>
    <cellStyle name="20% - Accent4 2 3 6 2 4" xfId="24646"/>
    <cellStyle name="20% - Accent4 2 3 6 3" xfId="9276"/>
    <cellStyle name="20% - Accent4 2 3 6 4" xfId="15442"/>
    <cellStyle name="20% - Accent4 2 3 6 5" xfId="21570"/>
    <cellStyle name="20% - Accent4 2 4" xfId="2300"/>
    <cellStyle name="20% - Accent4 2 4 2" xfId="2988"/>
    <cellStyle name="20% - Accent4 2 4 2 2" xfId="6124"/>
    <cellStyle name="20% - Accent4 2 4 2 2 2" xfId="12366"/>
    <cellStyle name="20% - Accent4 2 4 2 2 3" xfId="18521"/>
    <cellStyle name="20% - Accent4 2 4 2 2 4" xfId="24648"/>
    <cellStyle name="20% - Accent4 2 4 2 3" xfId="9278"/>
    <cellStyle name="20% - Accent4 2 4 2 4" xfId="15444"/>
    <cellStyle name="20% - Accent4 2 4 2 5" xfId="21572"/>
    <cellStyle name="20% - Accent4 2 4 3" xfId="2987"/>
    <cellStyle name="20% - Accent4 2 4 3 2" xfId="6123"/>
    <cellStyle name="20% - Accent4 2 4 3 2 2" xfId="12365"/>
    <cellStyle name="20% - Accent4 2 4 3 2 3" xfId="18520"/>
    <cellStyle name="20% - Accent4 2 4 3 2 4" xfId="24647"/>
    <cellStyle name="20% - Accent4 2 4 3 3" xfId="9277"/>
    <cellStyle name="20% - Accent4 2 4 3 4" xfId="15443"/>
    <cellStyle name="20% - Accent4 2 4 3 5" xfId="21571"/>
    <cellStyle name="20% - Accent4 2 4 4" xfId="5613"/>
    <cellStyle name="20% - Accent4 2 4 4 2" xfId="11855"/>
    <cellStyle name="20% - Accent4 2 4 4 3" xfId="18010"/>
    <cellStyle name="20% - Accent4 2 4 4 4" xfId="24137"/>
    <cellStyle name="20% - Accent4 2 4 5" xfId="8767"/>
    <cellStyle name="20% - Accent4 2 4 6" xfId="14324"/>
    <cellStyle name="20% - Accent4 2 4 7" xfId="20947"/>
    <cellStyle name="20% - Accent4 2 5" xfId="2133"/>
    <cellStyle name="20% - Accent4 2 5 2" xfId="2990"/>
    <cellStyle name="20% - Accent4 2 5 2 2" xfId="6126"/>
    <cellStyle name="20% - Accent4 2 5 2 2 2" xfId="12368"/>
    <cellStyle name="20% - Accent4 2 5 2 2 3" xfId="18523"/>
    <cellStyle name="20% - Accent4 2 5 2 2 4" xfId="24650"/>
    <cellStyle name="20% - Accent4 2 5 2 3" xfId="9280"/>
    <cellStyle name="20% - Accent4 2 5 2 4" xfId="15446"/>
    <cellStyle name="20% - Accent4 2 5 2 5" xfId="21574"/>
    <cellStyle name="20% - Accent4 2 5 3" xfId="2989"/>
    <cellStyle name="20% - Accent4 2 5 3 2" xfId="6125"/>
    <cellStyle name="20% - Accent4 2 5 3 2 2" xfId="12367"/>
    <cellStyle name="20% - Accent4 2 5 3 2 3" xfId="18522"/>
    <cellStyle name="20% - Accent4 2 5 3 2 4" xfId="24649"/>
    <cellStyle name="20% - Accent4 2 5 3 3" xfId="9279"/>
    <cellStyle name="20% - Accent4 2 5 3 4" xfId="15445"/>
    <cellStyle name="20% - Accent4 2 5 3 5" xfId="21573"/>
    <cellStyle name="20% - Accent4 2 5 4" xfId="5446"/>
    <cellStyle name="20% - Accent4 2 5 4 2" xfId="11688"/>
    <cellStyle name="20% - Accent4 2 5 4 3" xfId="17843"/>
    <cellStyle name="20% - Accent4 2 5 4 4" xfId="23970"/>
    <cellStyle name="20% - Accent4 2 5 5" xfId="8600"/>
    <cellStyle name="20% - Accent4 2 5 6" xfId="14325"/>
    <cellStyle name="20% - Accent4 2 5 7" xfId="20780"/>
    <cellStyle name="20% - Accent4 2 6" xfId="770"/>
    <cellStyle name="20% - Accent4 2 6 2" xfId="2992"/>
    <cellStyle name="20% - Accent4 2 6 2 2" xfId="6128"/>
    <cellStyle name="20% - Accent4 2 6 2 2 2" xfId="12370"/>
    <cellStyle name="20% - Accent4 2 6 2 2 3" xfId="18525"/>
    <cellStyle name="20% - Accent4 2 6 2 2 4" xfId="24652"/>
    <cellStyle name="20% - Accent4 2 6 2 3" xfId="9282"/>
    <cellStyle name="20% - Accent4 2 6 2 4" xfId="15448"/>
    <cellStyle name="20% - Accent4 2 6 2 5" xfId="21576"/>
    <cellStyle name="20% - Accent4 2 6 3" xfId="2991"/>
    <cellStyle name="20% - Accent4 2 6 3 2" xfId="6127"/>
    <cellStyle name="20% - Accent4 2 6 3 2 2" xfId="12369"/>
    <cellStyle name="20% - Accent4 2 6 3 2 3" xfId="18524"/>
    <cellStyle name="20% - Accent4 2 6 3 2 4" xfId="24651"/>
    <cellStyle name="20% - Accent4 2 6 3 3" xfId="9281"/>
    <cellStyle name="20% - Accent4 2 6 3 4" xfId="15447"/>
    <cellStyle name="20% - Accent4 2 6 3 5" xfId="21575"/>
    <cellStyle name="20% - Accent4 2 6 4" xfId="5119"/>
    <cellStyle name="20% - Accent4 2 6 4 2" xfId="11362"/>
    <cellStyle name="20% - Accent4 2 6 4 3" xfId="17517"/>
    <cellStyle name="20% - Accent4 2 6 4 4" xfId="23644"/>
    <cellStyle name="20% - Accent4 2 6 5" xfId="8276"/>
    <cellStyle name="20% - Accent4 2 6 6" xfId="14326"/>
    <cellStyle name="20% - Accent4 2 6 7" xfId="20459"/>
    <cellStyle name="20% - Accent4 2 7" xfId="217"/>
    <cellStyle name="20% - Accent4 2 7 2" xfId="2994"/>
    <cellStyle name="20% - Accent4 2 7 2 2" xfId="6130"/>
    <cellStyle name="20% - Accent4 2 7 2 2 2" xfId="12372"/>
    <cellStyle name="20% - Accent4 2 7 2 2 3" xfId="18527"/>
    <cellStyle name="20% - Accent4 2 7 2 2 4" xfId="24654"/>
    <cellStyle name="20% - Accent4 2 7 2 3" xfId="9284"/>
    <cellStyle name="20% - Accent4 2 7 2 4" xfId="15450"/>
    <cellStyle name="20% - Accent4 2 7 2 5" xfId="21578"/>
    <cellStyle name="20% - Accent4 2 7 3" xfId="2993"/>
    <cellStyle name="20% - Accent4 2 7 3 2" xfId="6129"/>
    <cellStyle name="20% - Accent4 2 7 3 2 2" xfId="12371"/>
    <cellStyle name="20% - Accent4 2 7 3 2 3" xfId="18526"/>
    <cellStyle name="20% - Accent4 2 7 3 2 4" xfId="24653"/>
    <cellStyle name="20% - Accent4 2 7 3 3" xfId="9283"/>
    <cellStyle name="20% - Accent4 2 7 3 4" xfId="15449"/>
    <cellStyle name="20% - Accent4 2 7 3 5" xfId="21577"/>
    <cellStyle name="20% - Accent4 2 7 4" xfId="4997"/>
    <cellStyle name="20% - Accent4 2 7 4 2" xfId="11240"/>
    <cellStyle name="20% - Accent4 2 7 4 3" xfId="17395"/>
    <cellStyle name="20% - Accent4 2 7 4 4" xfId="23522"/>
    <cellStyle name="20% - Accent4 2 7 5" xfId="8155"/>
    <cellStyle name="20% - Accent4 2 7 6" xfId="14327"/>
    <cellStyle name="20% - Accent4 2 7 7" xfId="21151"/>
    <cellStyle name="20% - Accent4 2 8" xfId="2995"/>
    <cellStyle name="20% - Accent4 2 8 2" xfId="6131"/>
    <cellStyle name="20% - Accent4 2 8 2 2" xfId="12373"/>
    <cellStyle name="20% - Accent4 2 8 2 3" xfId="18528"/>
    <cellStyle name="20% - Accent4 2 8 2 4" xfId="24655"/>
    <cellStyle name="20% - Accent4 2 8 3" xfId="9285"/>
    <cellStyle name="20% - Accent4 2 8 4" xfId="15451"/>
    <cellStyle name="20% - Accent4 2 8 5" xfId="21579"/>
    <cellStyle name="20% - Accent4 2 9" xfId="2996"/>
    <cellStyle name="20% - Accent4 2 9 2" xfId="6132"/>
    <cellStyle name="20% - Accent4 2 9 2 2" xfId="12374"/>
    <cellStyle name="20% - Accent4 2 9 2 3" xfId="18529"/>
    <cellStyle name="20% - Accent4 2 9 2 4" xfId="24656"/>
    <cellStyle name="20% - Accent4 2 9 3" xfId="9286"/>
    <cellStyle name="20% - Accent4 2 9 4" xfId="15452"/>
    <cellStyle name="20% - Accent4 2 9 5" xfId="21580"/>
    <cellStyle name="20% - Accent4 3" xfId="52"/>
    <cellStyle name="20% - Accent4 3 10" xfId="2997"/>
    <cellStyle name="20% - Accent4 3 10 2" xfId="6133"/>
    <cellStyle name="20% - Accent4 3 10 2 2" xfId="12375"/>
    <cellStyle name="20% - Accent4 3 10 2 3" xfId="18530"/>
    <cellStyle name="20% - Accent4 3 10 2 4" xfId="24657"/>
    <cellStyle name="20% - Accent4 3 10 3" xfId="9287"/>
    <cellStyle name="20% - Accent4 3 10 4" xfId="15453"/>
    <cellStyle name="20% - Accent4 3 10 5" xfId="21581"/>
    <cellStyle name="20% - Accent4 3 11" xfId="4907"/>
    <cellStyle name="20% - Accent4 3 11 2" xfId="11151"/>
    <cellStyle name="20% - Accent4 3 11 3" xfId="17306"/>
    <cellStyle name="20% - Accent4 3 11 4" xfId="23433"/>
    <cellStyle name="20% - Accent4 3 12" xfId="8065"/>
    <cellStyle name="20% - Accent4 3 13" xfId="14328"/>
    <cellStyle name="20% - Accent4 3 14" xfId="20345"/>
    <cellStyle name="20% - Accent4 3 2" xfId="53"/>
    <cellStyle name="20% - Accent4 3 2 10" xfId="4908"/>
    <cellStyle name="20% - Accent4 3 2 10 2" xfId="11152"/>
    <cellStyle name="20% - Accent4 3 2 10 3" xfId="17307"/>
    <cellStyle name="20% - Accent4 3 2 10 4" xfId="23434"/>
    <cellStyle name="20% - Accent4 3 2 11" xfId="8066"/>
    <cellStyle name="20% - Accent4 3 2 12" xfId="14329"/>
    <cellStyle name="20% - Accent4 3 2 13" xfId="20346"/>
    <cellStyle name="20% - Accent4 3 2 2" xfId="2000"/>
    <cellStyle name="20% - Accent4 3 2 2 10" xfId="20677"/>
    <cellStyle name="20% - Accent4 3 2 2 2" xfId="2386"/>
    <cellStyle name="20% - Accent4 3 2 2 2 2" xfId="3001"/>
    <cellStyle name="20% - Accent4 3 2 2 2 2 2" xfId="6137"/>
    <cellStyle name="20% - Accent4 3 2 2 2 2 2 2" xfId="12379"/>
    <cellStyle name="20% - Accent4 3 2 2 2 2 2 3" xfId="18534"/>
    <cellStyle name="20% - Accent4 3 2 2 2 2 2 4" xfId="24661"/>
    <cellStyle name="20% - Accent4 3 2 2 2 2 3" xfId="9291"/>
    <cellStyle name="20% - Accent4 3 2 2 2 2 4" xfId="15457"/>
    <cellStyle name="20% - Accent4 3 2 2 2 2 5" xfId="21585"/>
    <cellStyle name="20% - Accent4 3 2 2 2 3" xfId="3000"/>
    <cellStyle name="20% - Accent4 3 2 2 2 3 2" xfId="6136"/>
    <cellStyle name="20% - Accent4 3 2 2 2 3 2 2" xfId="12378"/>
    <cellStyle name="20% - Accent4 3 2 2 2 3 2 3" xfId="18533"/>
    <cellStyle name="20% - Accent4 3 2 2 2 3 2 4" xfId="24660"/>
    <cellStyle name="20% - Accent4 3 2 2 2 3 3" xfId="9290"/>
    <cellStyle name="20% - Accent4 3 2 2 2 3 4" xfId="15456"/>
    <cellStyle name="20% - Accent4 3 2 2 2 3 5" xfId="21584"/>
    <cellStyle name="20% - Accent4 3 2 2 2 4" xfId="5699"/>
    <cellStyle name="20% - Accent4 3 2 2 2 4 2" xfId="11941"/>
    <cellStyle name="20% - Accent4 3 2 2 2 4 3" xfId="18096"/>
    <cellStyle name="20% - Accent4 3 2 2 2 4 4" xfId="24223"/>
    <cellStyle name="20% - Accent4 3 2 2 2 5" xfId="8853"/>
    <cellStyle name="20% - Accent4 3 2 2 2 6" xfId="14331"/>
    <cellStyle name="20% - Accent4 3 2 2 2 7" xfId="21033"/>
    <cellStyle name="20% - Accent4 3 2 2 3" xfId="2211"/>
    <cellStyle name="20% - Accent4 3 2 2 3 2" xfId="3003"/>
    <cellStyle name="20% - Accent4 3 2 2 3 2 2" xfId="6139"/>
    <cellStyle name="20% - Accent4 3 2 2 3 2 2 2" xfId="12381"/>
    <cellStyle name="20% - Accent4 3 2 2 3 2 2 3" xfId="18536"/>
    <cellStyle name="20% - Accent4 3 2 2 3 2 2 4" xfId="24663"/>
    <cellStyle name="20% - Accent4 3 2 2 3 2 3" xfId="9293"/>
    <cellStyle name="20% - Accent4 3 2 2 3 2 4" xfId="15459"/>
    <cellStyle name="20% - Accent4 3 2 2 3 2 5" xfId="21587"/>
    <cellStyle name="20% - Accent4 3 2 2 3 3" xfId="3002"/>
    <cellStyle name="20% - Accent4 3 2 2 3 3 2" xfId="6138"/>
    <cellStyle name="20% - Accent4 3 2 2 3 3 2 2" xfId="12380"/>
    <cellStyle name="20% - Accent4 3 2 2 3 3 2 3" xfId="18535"/>
    <cellStyle name="20% - Accent4 3 2 2 3 3 2 4" xfId="24662"/>
    <cellStyle name="20% - Accent4 3 2 2 3 3 3" xfId="9292"/>
    <cellStyle name="20% - Accent4 3 2 2 3 3 4" xfId="15458"/>
    <cellStyle name="20% - Accent4 3 2 2 3 3 5" xfId="21586"/>
    <cellStyle name="20% - Accent4 3 2 2 3 4" xfId="5524"/>
    <cellStyle name="20% - Accent4 3 2 2 3 4 2" xfId="11766"/>
    <cellStyle name="20% - Accent4 3 2 2 3 4 3" xfId="17921"/>
    <cellStyle name="20% - Accent4 3 2 2 3 4 4" xfId="24048"/>
    <cellStyle name="20% - Accent4 3 2 2 3 5" xfId="8678"/>
    <cellStyle name="20% - Accent4 3 2 2 3 6" xfId="14332"/>
    <cellStyle name="20% - Accent4 3 2 2 3 7" xfId="20858"/>
    <cellStyle name="20% - Accent4 3 2 2 4" xfId="3004"/>
    <cellStyle name="20% - Accent4 3 2 2 4 2" xfId="6140"/>
    <cellStyle name="20% - Accent4 3 2 2 4 2 2" xfId="12382"/>
    <cellStyle name="20% - Accent4 3 2 2 4 2 3" xfId="18537"/>
    <cellStyle name="20% - Accent4 3 2 2 4 2 4" xfId="24664"/>
    <cellStyle name="20% - Accent4 3 2 2 4 3" xfId="9294"/>
    <cellStyle name="20% - Accent4 3 2 2 4 4" xfId="15460"/>
    <cellStyle name="20% - Accent4 3 2 2 4 5" xfId="21588"/>
    <cellStyle name="20% - Accent4 3 2 2 5" xfId="3005"/>
    <cellStyle name="20% - Accent4 3 2 2 5 2" xfId="6141"/>
    <cellStyle name="20% - Accent4 3 2 2 5 2 2" xfId="12383"/>
    <cellStyle name="20% - Accent4 3 2 2 5 2 3" xfId="18538"/>
    <cellStyle name="20% - Accent4 3 2 2 5 2 4" xfId="24665"/>
    <cellStyle name="20% - Accent4 3 2 2 5 3" xfId="9295"/>
    <cellStyle name="20% - Accent4 3 2 2 5 4" xfId="15461"/>
    <cellStyle name="20% - Accent4 3 2 2 5 5" xfId="21589"/>
    <cellStyle name="20% - Accent4 3 2 2 6" xfId="2999"/>
    <cellStyle name="20% - Accent4 3 2 2 6 2" xfId="6135"/>
    <cellStyle name="20% - Accent4 3 2 2 6 2 2" xfId="12377"/>
    <cellStyle name="20% - Accent4 3 2 2 6 2 3" xfId="18532"/>
    <cellStyle name="20% - Accent4 3 2 2 6 2 4" xfId="24659"/>
    <cellStyle name="20% - Accent4 3 2 2 6 3" xfId="9289"/>
    <cellStyle name="20% - Accent4 3 2 2 6 4" xfId="15455"/>
    <cellStyle name="20% - Accent4 3 2 2 6 5" xfId="21583"/>
    <cellStyle name="20% - Accent4 3 2 2 7" xfId="5342"/>
    <cellStyle name="20% - Accent4 3 2 2 7 2" xfId="11584"/>
    <cellStyle name="20% - Accent4 3 2 2 7 3" xfId="17739"/>
    <cellStyle name="20% - Accent4 3 2 2 7 4" xfId="23866"/>
    <cellStyle name="20% - Accent4 3 2 2 8" xfId="8497"/>
    <cellStyle name="20% - Accent4 3 2 2 9" xfId="14330"/>
    <cellStyle name="20% - Accent4 3 2 3" xfId="2303"/>
    <cellStyle name="20% - Accent4 3 2 3 2" xfId="3007"/>
    <cellStyle name="20% - Accent4 3 2 3 2 2" xfId="6143"/>
    <cellStyle name="20% - Accent4 3 2 3 2 2 2" xfId="12385"/>
    <cellStyle name="20% - Accent4 3 2 3 2 2 3" xfId="18540"/>
    <cellStyle name="20% - Accent4 3 2 3 2 2 4" xfId="24667"/>
    <cellStyle name="20% - Accent4 3 2 3 2 3" xfId="9297"/>
    <cellStyle name="20% - Accent4 3 2 3 2 4" xfId="15463"/>
    <cellStyle name="20% - Accent4 3 2 3 2 5" xfId="21591"/>
    <cellStyle name="20% - Accent4 3 2 3 3" xfId="3006"/>
    <cellStyle name="20% - Accent4 3 2 3 3 2" xfId="6142"/>
    <cellStyle name="20% - Accent4 3 2 3 3 2 2" xfId="12384"/>
    <cellStyle name="20% - Accent4 3 2 3 3 2 3" xfId="18539"/>
    <cellStyle name="20% - Accent4 3 2 3 3 2 4" xfId="24666"/>
    <cellStyle name="20% - Accent4 3 2 3 3 3" xfId="9296"/>
    <cellStyle name="20% - Accent4 3 2 3 3 4" xfId="15462"/>
    <cellStyle name="20% - Accent4 3 2 3 3 5" xfId="21590"/>
    <cellStyle name="20% - Accent4 3 2 3 4" xfId="5616"/>
    <cellStyle name="20% - Accent4 3 2 3 4 2" xfId="11858"/>
    <cellStyle name="20% - Accent4 3 2 3 4 3" xfId="18013"/>
    <cellStyle name="20% - Accent4 3 2 3 4 4" xfId="24140"/>
    <cellStyle name="20% - Accent4 3 2 3 5" xfId="8770"/>
    <cellStyle name="20% - Accent4 3 2 3 6" xfId="14333"/>
    <cellStyle name="20% - Accent4 3 2 3 7" xfId="20950"/>
    <cellStyle name="20% - Accent4 3 2 4" xfId="2136"/>
    <cellStyle name="20% - Accent4 3 2 4 2" xfId="3009"/>
    <cellStyle name="20% - Accent4 3 2 4 2 2" xfId="6145"/>
    <cellStyle name="20% - Accent4 3 2 4 2 2 2" xfId="12387"/>
    <cellStyle name="20% - Accent4 3 2 4 2 2 3" xfId="18542"/>
    <cellStyle name="20% - Accent4 3 2 4 2 2 4" xfId="24669"/>
    <cellStyle name="20% - Accent4 3 2 4 2 3" xfId="9299"/>
    <cellStyle name="20% - Accent4 3 2 4 2 4" xfId="15465"/>
    <cellStyle name="20% - Accent4 3 2 4 2 5" xfId="21593"/>
    <cellStyle name="20% - Accent4 3 2 4 3" xfId="3008"/>
    <cellStyle name="20% - Accent4 3 2 4 3 2" xfId="6144"/>
    <cellStyle name="20% - Accent4 3 2 4 3 2 2" xfId="12386"/>
    <cellStyle name="20% - Accent4 3 2 4 3 2 3" xfId="18541"/>
    <cellStyle name="20% - Accent4 3 2 4 3 2 4" xfId="24668"/>
    <cellStyle name="20% - Accent4 3 2 4 3 3" xfId="9298"/>
    <cellStyle name="20% - Accent4 3 2 4 3 4" xfId="15464"/>
    <cellStyle name="20% - Accent4 3 2 4 3 5" xfId="21592"/>
    <cellStyle name="20% - Accent4 3 2 4 4" xfId="5449"/>
    <cellStyle name="20% - Accent4 3 2 4 4 2" xfId="11691"/>
    <cellStyle name="20% - Accent4 3 2 4 4 3" xfId="17846"/>
    <cellStyle name="20% - Accent4 3 2 4 4 4" xfId="23973"/>
    <cellStyle name="20% - Accent4 3 2 4 5" xfId="8603"/>
    <cellStyle name="20% - Accent4 3 2 4 6" xfId="14334"/>
    <cellStyle name="20% - Accent4 3 2 4 7" xfId="20783"/>
    <cellStyle name="20% - Accent4 3 2 5" xfId="773"/>
    <cellStyle name="20% - Accent4 3 2 5 2" xfId="3011"/>
    <cellStyle name="20% - Accent4 3 2 5 2 2" xfId="6147"/>
    <cellStyle name="20% - Accent4 3 2 5 2 2 2" xfId="12389"/>
    <cellStyle name="20% - Accent4 3 2 5 2 2 3" xfId="18544"/>
    <cellStyle name="20% - Accent4 3 2 5 2 2 4" xfId="24671"/>
    <cellStyle name="20% - Accent4 3 2 5 2 3" xfId="9301"/>
    <cellStyle name="20% - Accent4 3 2 5 2 4" xfId="15467"/>
    <cellStyle name="20% - Accent4 3 2 5 2 5" xfId="21595"/>
    <cellStyle name="20% - Accent4 3 2 5 3" xfId="3010"/>
    <cellStyle name="20% - Accent4 3 2 5 3 2" xfId="6146"/>
    <cellStyle name="20% - Accent4 3 2 5 3 2 2" xfId="12388"/>
    <cellStyle name="20% - Accent4 3 2 5 3 2 3" xfId="18543"/>
    <cellStyle name="20% - Accent4 3 2 5 3 2 4" xfId="24670"/>
    <cellStyle name="20% - Accent4 3 2 5 3 3" xfId="9300"/>
    <cellStyle name="20% - Accent4 3 2 5 3 4" xfId="15466"/>
    <cellStyle name="20% - Accent4 3 2 5 3 5" xfId="21594"/>
    <cellStyle name="20% - Accent4 3 2 5 4" xfId="5122"/>
    <cellStyle name="20% - Accent4 3 2 5 4 2" xfId="11365"/>
    <cellStyle name="20% - Accent4 3 2 5 4 3" xfId="17520"/>
    <cellStyle name="20% - Accent4 3 2 5 4 4" xfId="23647"/>
    <cellStyle name="20% - Accent4 3 2 5 5" xfId="8279"/>
    <cellStyle name="20% - Accent4 3 2 5 6" xfId="14335"/>
    <cellStyle name="20% - Accent4 3 2 5 7" xfId="20462"/>
    <cellStyle name="20% - Accent4 3 2 6" xfId="220"/>
    <cellStyle name="20% - Accent4 3 2 6 2" xfId="3013"/>
    <cellStyle name="20% - Accent4 3 2 6 2 2" xfId="6149"/>
    <cellStyle name="20% - Accent4 3 2 6 2 2 2" xfId="12391"/>
    <cellStyle name="20% - Accent4 3 2 6 2 2 3" xfId="18546"/>
    <cellStyle name="20% - Accent4 3 2 6 2 2 4" xfId="24673"/>
    <cellStyle name="20% - Accent4 3 2 6 2 3" xfId="9303"/>
    <cellStyle name="20% - Accent4 3 2 6 2 4" xfId="15469"/>
    <cellStyle name="20% - Accent4 3 2 6 2 5" xfId="21597"/>
    <cellStyle name="20% - Accent4 3 2 6 3" xfId="3012"/>
    <cellStyle name="20% - Accent4 3 2 6 3 2" xfId="6148"/>
    <cellStyle name="20% - Accent4 3 2 6 3 2 2" xfId="12390"/>
    <cellStyle name="20% - Accent4 3 2 6 3 2 3" xfId="18545"/>
    <cellStyle name="20% - Accent4 3 2 6 3 2 4" xfId="24672"/>
    <cellStyle name="20% - Accent4 3 2 6 3 3" xfId="9302"/>
    <cellStyle name="20% - Accent4 3 2 6 3 4" xfId="15468"/>
    <cellStyle name="20% - Accent4 3 2 6 3 5" xfId="21596"/>
    <cellStyle name="20% - Accent4 3 2 6 4" xfId="5000"/>
    <cellStyle name="20% - Accent4 3 2 6 4 2" xfId="11243"/>
    <cellStyle name="20% - Accent4 3 2 6 4 3" xfId="17398"/>
    <cellStyle name="20% - Accent4 3 2 6 4 4" xfId="23525"/>
    <cellStyle name="20% - Accent4 3 2 6 5" xfId="8158"/>
    <cellStyle name="20% - Accent4 3 2 6 6" xfId="14336"/>
    <cellStyle name="20% - Accent4 3 2 6 7" xfId="21154"/>
    <cellStyle name="20% - Accent4 3 2 7" xfId="3014"/>
    <cellStyle name="20% - Accent4 3 2 7 2" xfId="6150"/>
    <cellStyle name="20% - Accent4 3 2 7 2 2" xfId="12392"/>
    <cellStyle name="20% - Accent4 3 2 7 2 3" xfId="18547"/>
    <cellStyle name="20% - Accent4 3 2 7 2 4" xfId="24674"/>
    <cellStyle name="20% - Accent4 3 2 7 3" xfId="9304"/>
    <cellStyle name="20% - Accent4 3 2 7 4" xfId="15470"/>
    <cellStyle name="20% - Accent4 3 2 7 5" xfId="21598"/>
    <cellStyle name="20% - Accent4 3 2 8" xfId="3015"/>
    <cellStyle name="20% - Accent4 3 2 8 2" xfId="6151"/>
    <cellStyle name="20% - Accent4 3 2 8 2 2" xfId="12393"/>
    <cellStyle name="20% - Accent4 3 2 8 2 3" xfId="18548"/>
    <cellStyle name="20% - Accent4 3 2 8 2 4" xfId="24675"/>
    <cellStyle name="20% - Accent4 3 2 8 3" xfId="9305"/>
    <cellStyle name="20% - Accent4 3 2 8 4" xfId="15471"/>
    <cellStyle name="20% - Accent4 3 2 8 5" xfId="21599"/>
    <cellStyle name="20% - Accent4 3 2 9" xfId="2998"/>
    <cellStyle name="20% - Accent4 3 2 9 2" xfId="6134"/>
    <cellStyle name="20% - Accent4 3 2 9 2 2" xfId="12376"/>
    <cellStyle name="20% - Accent4 3 2 9 2 3" xfId="18531"/>
    <cellStyle name="20% - Accent4 3 2 9 2 4" xfId="24658"/>
    <cellStyle name="20% - Accent4 3 2 9 3" xfId="9288"/>
    <cellStyle name="20% - Accent4 3 2 9 4" xfId="15454"/>
    <cellStyle name="20% - Accent4 3 2 9 5" xfId="21582"/>
    <cellStyle name="20% - Accent4 3 3" xfId="1999"/>
    <cellStyle name="20% - Accent4 3 3 10" xfId="20676"/>
    <cellStyle name="20% - Accent4 3 3 2" xfId="2385"/>
    <cellStyle name="20% - Accent4 3 3 2 2" xfId="3018"/>
    <cellStyle name="20% - Accent4 3 3 2 2 2" xfId="6154"/>
    <cellStyle name="20% - Accent4 3 3 2 2 2 2" xfId="12396"/>
    <cellStyle name="20% - Accent4 3 3 2 2 2 3" xfId="18551"/>
    <cellStyle name="20% - Accent4 3 3 2 2 2 4" xfId="24678"/>
    <cellStyle name="20% - Accent4 3 3 2 2 3" xfId="9308"/>
    <cellStyle name="20% - Accent4 3 3 2 2 4" xfId="15474"/>
    <cellStyle name="20% - Accent4 3 3 2 2 5" xfId="21602"/>
    <cellStyle name="20% - Accent4 3 3 2 3" xfId="3017"/>
    <cellStyle name="20% - Accent4 3 3 2 3 2" xfId="6153"/>
    <cellStyle name="20% - Accent4 3 3 2 3 2 2" xfId="12395"/>
    <cellStyle name="20% - Accent4 3 3 2 3 2 3" xfId="18550"/>
    <cellStyle name="20% - Accent4 3 3 2 3 2 4" xfId="24677"/>
    <cellStyle name="20% - Accent4 3 3 2 3 3" xfId="9307"/>
    <cellStyle name="20% - Accent4 3 3 2 3 4" xfId="15473"/>
    <cellStyle name="20% - Accent4 3 3 2 3 5" xfId="21601"/>
    <cellStyle name="20% - Accent4 3 3 2 4" xfId="5698"/>
    <cellStyle name="20% - Accent4 3 3 2 4 2" xfId="11940"/>
    <cellStyle name="20% - Accent4 3 3 2 4 3" xfId="18095"/>
    <cellStyle name="20% - Accent4 3 3 2 4 4" xfId="24222"/>
    <cellStyle name="20% - Accent4 3 3 2 5" xfId="8852"/>
    <cellStyle name="20% - Accent4 3 3 2 6" xfId="14338"/>
    <cellStyle name="20% - Accent4 3 3 2 7" xfId="21032"/>
    <cellStyle name="20% - Accent4 3 3 3" xfId="2210"/>
    <cellStyle name="20% - Accent4 3 3 3 2" xfId="3020"/>
    <cellStyle name="20% - Accent4 3 3 3 2 2" xfId="6156"/>
    <cellStyle name="20% - Accent4 3 3 3 2 2 2" xfId="12398"/>
    <cellStyle name="20% - Accent4 3 3 3 2 2 3" xfId="18553"/>
    <cellStyle name="20% - Accent4 3 3 3 2 2 4" xfId="24680"/>
    <cellStyle name="20% - Accent4 3 3 3 2 3" xfId="9310"/>
    <cellStyle name="20% - Accent4 3 3 3 2 4" xfId="15476"/>
    <cellStyle name="20% - Accent4 3 3 3 2 5" xfId="21604"/>
    <cellStyle name="20% - Accent4 3 3 3 3" xfId="3019"/>
    <cellStyle name="20% - Accent4 3 3 3 3 2" xfId="6155"/>
    <cellStyle name="20% - Accent4 3 3 3 3 2 2" xfId="12397"/>
    <cellStyle name="20% - Accent4 3 3 3 3 2 3" xfId="18552"/>
    <cellStyle name="20% - Accent4 3 3 3 3 2 4" xfId="24679"/>
    <cellStyle name="20% - Accent4 3 3 3 3 3" xfId="9309"/>
    <cellStyle name="20% - Accent4 3 3 3 3 4" xfId="15475"/>
    <cellStyle name="20% - Accent4 3 3 3 3 5" xfId="21603"/>
    <cellStyle name="20% - Accent4 3 3 3 4" xfId="5523"/>
    <cellStyle name="20% - Accent4 3 3 3 4 2" xfId="11765"/>
    <cellStyle name="20% - Accent4 3 3 3 4 3" xfId="17920"/>
    <cellStyle name="20% - Accent4 3 3 3 4 4" xfId="24047"/>
    <cellStyle name="20% - Accent4 3 3 3 5" xfId="8677"/>
    <cellStyle name="20% - Accent4 3 3 3 6" xfId="14339"/>
    <cellStyle name="20% - Accent4 3 3 3 7" xfId="20857"/>
    <cellStyle name="20% - Accent4 3 3 4" xfId="3021"/>
    <cellStyle name="20% - Accent4 3 3 4 2" xfId="6157"/>
    <cellStyle name="20% - Accent4 3 3 4 2 2" xfId="12399"/>
    <cellStyle name="20% - Accent4 3 3 4 2 3" xfId="18554"/>
    <cellStyle name="20% - Accent4 3 3 4 2 4" xfId="24681"/>
    <cellStyle name="20% - Accent4 3 3 4 3" xfId="9311"/>
    <cellStyle name="20% - Accent4 3 3 4 4" xfId="15477"/>
    <cellStyle name="20% - Accent4 3 3 4 5" xfId="21605"/>
    <cellStyle name="20% - Accent4 3 3 5" xfId="3022"/>
    <cellStyle name="20% - Accent4 3 3 5 2" xfId="6158"/>
    <cellStyle name="20% - Accent4 3 3 5 2 2" xfId="12400"/>
    <cellStyle name="20% - Accent4 3 3 5 2 3" xfId="18555"/>
    <cellStyle name="20% - Accent4 3 3 5 2 4" xfId="24682"/>
    <cellStyle name="20% - Accent4 3 3 5 3" xfId="9312"/>
    <cellStyle name="20% - Accent4 3 3 5 4" xfId="15478"/>
    <cellStyle name="20% - Accent4 3 3 5 5" xfId="21606"/>
    <cellStyle name="20% - Accent4 3 3 6" xfId="3016"/>
    <cellStyle name="20% - Accent4 3 3 6 2" xfId="6152"/>
    <cellStyle name="20% - Accent4 3 3 6 2 2" xfId="12394"/>
    <cellStyle name="20% - Accent4 3 3 6 2 3" xfId="18549"/>
    <cellStyle name="20% - Accent4 3 3 6 2 4" xfId="24676"/>
    <cellStyle name="20% - Accent4 3 3 6 3" xfId="9306"/>
    <cellStyle name="20% - Accent4 3 3 6 4" xfId="15472"/>
    <cellStyle name="20% - Accent4 3 3 6 5" xfId="21600"/>
    <cellStyle name="20% - Accent4 3 3 7" xfId="5341"/>
    <cellStyle name="20% - Accent4 3 3 7 2" xfId="11583"/>
    <cellStyle name="20% - Accent4 3 3 7 3" xfId="17738"/>
    <cellStyle name="20% - Accent4 3 3 7 4" xfId="23865"/>
    <cellStyle name="20% - Accent4 3 3 8" xfId="8496"/>
    <cellStyle name="20% - Accent4 3 3 9" xfId="14337"/>
    <cellStyle name="20% - Accent4 3 4" xfId="2302"/>
    <cellStyle name="20% - Accent4 3 4 2" xfId="3024"/>
    <cellStyle name="20% - Accent4 3 4 2 2" xfId="6160"/>
    <cellStyle name="20% - Accent4 3 4 2 2 2" xfId="12402"/>
    <cellStyle name="20% - Accent4 3 4 2 2 3" xfId="18557"/>
    <cellStyle name="20% - Accent4 3 4 2 2 4" xfId="24684"/>
    <cellStyle name="20% - Accent4 3 4 2 3" xfId="9314"/>
    <cellStyle name="20% - Accent4 3 4 2 4" xfId="15480"/>
    <cellStyle name="20% - Accent4 3 4 2 5" xfId="21608"/>
    <cellStyle name="20% - Accent4 3 4 3" xfId="3023"/>
    <cellStyle name="20% - Accent4 3 4 3 2" xfId="6159"/>
    <cellStyle name="20% - Accent4 3 4 3 2 2" xfId="12401"/>
    <cellStyle name="20% - Accent4 3 4 3 2 3" xfId="18556"/>
    <cellStyle name="20% - Accent4 3 4 3 2 4" xfId="24683"/>
    <cellStyle name="20% - Accent4 3 4 3 3" xfId="9313"/>
    <cellStyle name="20% - Accent4 3 4 3 4" xfId="15479"/>
    <cellStyle name="20% - Accent4 3 4 3 5" xfId="21607"/>
    <cellStyle name="20% - Accent4 3 4 4" xfId="5615"/>
    <cellStyle name="20% - Accent4 3 4 4 2" xfId="11857"/>
    <cellStyle name="20% - Accent4 3 4 4 3" xfId="18012"/>
    <cellStyle name="20% - Accent4 3 4 4 4" xfId="24139"/>
    <cellStyle name="20% - Accent4 3 4 5" xfId="8769"/>
    <cellStyle name="20% - Accent4 3 4 6" xfId="14340"/>
    <cellStyle name="20% - Accent4 3 4 7" xfId="20949"/>
    <cellStyle name="20% - Accent4 3 5" xfId="2135"/>
    <cellStyle name="20% - Accent4 3 5 2" xfId="3026"/>
    <cellStyle name="20% - Accent4 3 5 2 2" xfId="6162"/>
    <cellStyle name="20% - Accent4 3 5 2 2 2" xfId="12404"/>
    <cellStyle name="20% - Accent4 3 5 2 2 3" xfId="18559"/>
    <cellStyle name="20% - Accent4 3 5 2 2 4" xfId="24686"/>
    <cellStyle name="20% - Accent4 3 5 2 3" xfId="9316"/>
    <cellStyle name="20% - Accent4 3 5 2 4" xfId="15482"/>
    <cellStyle name="20% - Accent4 3 5 2 5" xfId="21610"/>
    <cellStyle name="20% - Accent4 3 5 3" xfId="3025"/>
    <cellStyle name="20% - Accent4 3 5 3 2" xfId="6161"/>
    <cellStyle name="20% - Accent4 3 5 3 2 2" xfId="12403"/>
    <cellStyle name="20% - Accent4 3 5 3 2 3" xfId="18558"/>
    <cellStyle name="20% - Accent4 3 5 3 2 4" xfId="24685"/>
    <cellStyle name="20% - Accent4 3 5 3 3" xfId="9315"/>
    <cellStyle name="20% - Accent4 3 5 3 4" xfId="15481"/>
    <cellStyle name="20% - Accent4 3 5 3 5" xfId="21609"/>
    <cellStyle name="20% - Accent4 3 5 4" xfId="5448"/>
    <cellStyle name="20% - Accent4 3 5 4 2" xfId="11690"/>
    <cellStyle name="20% - Accent4 3 5 4 3" xfId="17845"/>
    <cellStyle name="20% - Accent4 3 5 4 4" xfId="23972"/>
    <cellStyle name="20% - Accent4 3 5 5" xfId="8602"/>
    <cellStyle name="20% - Accent4 3 5 6" xfId="14341"/>
    <cellStyle name="20% - Accent4 3 5 7" xfId="20782"/>
    <cellStyle name="20% - Accent4 3 6" xfId="772"/>
    <cellStyle name="20% - Accent4 3 6 2" xfId="3028"/>
    <cellStyle name="20% - Accent4 3 6 2 2" xfId="6164"/>
    <cellStyle name="20% - Accent4 3 6 2 2 2" xfId="12406"/>
    <cellStyle name="20% - Accent4 3 6 2 2 3" xfId="18561"/>
    <cellStyle name="20% - Accent4 3 6 2 2 4" xfId="24688"/>
    <cellStyle name="20% - Accent4 3 6 2 3" xfId="9318"/>
    <cellStyle name="20% - Accent4 3 6 2 4" xfId="15484"/>
    <cellStyle name="20% - Accent4 3 6 2 5" xfId="21612"/>
    <cellStyle name="20% - Accent4 3 6 3" xfId="3027"/>
    <cellStyle name="20% - Accent4 3 6 3 2" xfId="6163"/>
    <cellStyle name="20% - Accent4 3 6 3 2 2" xfId="12405"/>
    <cellStyle name="20% - Accent4 3 6 3 2 3" xfId="18560"/>
    <cellStyle name="20% - Accent4 3 6 3 2 4" xfId="24687"/>
    <cellStyle name="20% - Accent4 3 6 3 3" xfId="9317"/>
    <cellStyle name="20% - Accent4 3 6 3 4" xfId="15483"/>
    <cellStyle name="20% - Accent4 3 6 3 5" xfId="21611"/>
    <cellStyle name="20% - Accent4 3 6 4" xfId="5121"/>
    <cellStyle name="20% - Accent4 3 6 4 2" xfId="11364"/>
    <cellStyle name="20% - Accent4 3 6 4 3" xfId="17519"/>
    <cellStyle name="20% - Accent4 3 6 4 4" xfId="23646"/>
    <cellStyle name="20% - Accent4 3 6 5" xfId="8278"/>
    <cellStyle name="20% - Accent4 3 6 6" xfId="14342"/>
    <cellStyle name="20% - Accent4 3 6 7" xfId="20461"/>
    <cellStyle name="20% - Accent4 3 7" xfId="219"/>
    <cellStyle name="20% - Accent4 3 7 2" xfId="3030"/>
    <cellStyle name="20% - Accent4 3 7 2 2" xfId="6166"/>
    <cellStyle name="20% - Accent4 3 7 2 2 2" xfId="12408"/>
    <cellStyle name="20% - Accent4 3 7 2 2 3" xfId="18563"/>
    <cellStyle name="20% - Accent4 3 7 2 2 4" xfId="24690"/>
    <cellStyle name="20% - Accent4 3 7 2 3" xfId="9320"/>
    <cellStyle name="20% - Accent4 3 7 2 4" xfId="15486"/>
    <cellStyle name="20% - Accent4 3 7 2 5" xfId="21614"/>
    <cellStyle name="20% - Accent4 3 7 3" xfId="3029"/>
    <cellStyle name="20% - Accent4 3 7 3 2" xfId="6165"/>
    <cellStyle name="20% - Accent4 3 7 3 2 2" xfId="12407"/>
    <cellStyle name="20% - Accent4 3 7 3 2 3" xfId="18562"/>
    <cellStyle name="20% - Accent4 3 7 3 2 4" xfId="24689"/>
    <cellStyle name="20% - Accent4 3 7 3 3" xfId="9319"/>
    <cellStyle name="20% - Accent4 3 7 3 4" xfId="15485"/>
    <cellStyle name="20% - Accent4 3 7 3 5" xfId="21613"/>
    <cellStyle name="20% - Accent4 3 7 4" xfId="4999"/>
    <cellStyle name="20% - Accent4 3 7 4 2" xfId="11242"/>
    <cellStyle name="20% - Accent4 3 7 4 3" xfId="17397"/>
    <cellStyle name="20% - Accent4 3 7 4 4" xfId="23524"/>
    <cellStyle name="20% - Accent4 3 7 5" xfId="8157"/>
    <cellStyle name="20% - Accent4 3 7 6" xfId="14343"/>
    <cellStyle name="20% - Accent4 3 7 7" xfId="21153"/>
    <cellStyle name="20% - Accent4 3 8" xfId="3031"/>
    <cellStyle name="20% - Accent4 3 8 2" xfId="6167"/>
    <cellStyle name="20% - Accent4 3 8 2 2" xfId="12409"/>
    <cellStyle name="20% - Accent4 3 8 2 3" xfId="18564"/>
    <cellStyle name="20% - Accent4 3 8 2 4" xfId="24691"/>
    <cellStyle name="20% - Accent4 3 8 3" xfId="9321"/>
    <cellStyle name="20% - Accent4 3 8 4" xfId="15487"/>
    <cellStyle name="20% - Accent4 3 8 5" xfId="21615"/>
    <cellStyle name="20% - Accent4 3 9" xfId="3032"/>
    <cellStyle name="20% - Accent4 3 9 2" xfId="6168"/>
    <cellStyle name="20% - Accent4 3 9 2 2" xfId="12410"/>
    <cellStyle name="20% - Accent4 3 9 2 3" xfId="18565"/>
    <cellStyle name="20% - Accent4 3 9 2 4" xfId="24692"/>
    <cellStyle name="20% - Accent4 3 9 3" xfId="9322"/>
    <cellStyle name="20% - Accent4 3 9 4" xfId="15488"/>
    <cellStyle name="20% - Accent4 3 9 5" xfId="21616"/>
    <cellStyle name="20% - Accent4 4" xfId="54"/>
    <cellStyle name="20% - Accent4 4 2" xfId="55"/>
    <cellStyle name="20% - Accent4 4 2 10" xfId="4909"/>
    <cellStyle name="20% - Accent4 4 2 10 2" xfId="11153"/>
    <cellStyle name="20% - Accent4 4 2 10 3" xfId="17308"/>
    <cellStyle name="20% - Accent4 4 2 10 4" xfId="23435"/>
    <cellStyle name="20% - Accent4 4 2 11" xfId="8067"/>
    <cellStyle name="20% - Accent4 4 2 12" xfId="14344"/>
    <cellStyle name="20% - Accent4 4 2 13" xfId="20347"/>
    <cellStyle name="20% - Accent4 4 2 2" xfId="2001"/>
    <cellStyle name="20% - Accent4 4 2 2 10" xfId="20678"/>
    <cellStyle name="20% - Accent4 4 2 2 2" xfId="2387"/>
    <cellStyle name="20% - Accent4 4 2 2 2 2" xfId="3036"/>
    <cellStyle name="20% - Accent4 4 2 2 2 2 2" xfId="6172"/>
    <cellStyle name="20% - Accent4 4 2 2 2 2 2 2" xfId="12414"/>
    <cellStyle name="20% - Accent4 4 2 2 2 2 2 3" xfId="18569"/>
    <cellStyle name="20% - Accent4 4 2 2 2 2 2 4" xfId="24696"/>
    <cellStyle name="20% - Accent4 4 2 2 2 2 3" xfId="9326"/>
    <cellStyle name="20% - Accent4 4 2 2 2 2 4" xfId="15492"/>
    <cellStyle name="20% - Accent4 4 2 2 2 2 5" xfId="21620"/>
    <cellStyle name="20% - Accent4 4 2 2 2 3" xfId="3035"/>
    <cellStyle name="20% - Accent4 4 2 2 2 3 2" xfId="6171"/>
    <cellStyle name="20% - Accent4 4 2 2 2 3 2 2" xfId="12413"/>
    <cellStyle name="20% - Accent4 4 2 2 2 3 2 3" xfId="18568"/>
    <cellStyle name="20% - Accent4 4 2 2 2 3 2 4" xfId="24695"/>
    <cellStyle name="20% - Accent4 4 2 2 2 3 3" xfId="9325"/>
    <cellStyle name="20% - Accent4 4 2 2 2 3 4" xfId="15491"/>
    <cellStyle name="20% - Accent4 4 2 2 2 3 5" xfId="21619"/>
    <cellStyle name="20% - Accent4 4 2 2 2 4" xfId="5700"/>
    <cellStyle name="20% - Accent4 4 2 2 2 4 2" xfId="11942"/>
    <cellStyle name="20% - Accent4 4 2 2 2 4 3" xfId="18097"/>
    <cellStyle name="20% - Accent4 4 2 2 2 4 4" xfId="24224"/>
    <cellStyle name="20% - Accent4 4 2 2 2 5" xfId="8854"/>
    <cellStyle name="20% - Accent4 4 2 2 2 6" xfId="14346"/>
    <cellStyle name="20% - Accent4 4 2 2 2 7" xfId="21034"/>
    <cellStyle name="20% - Accent4 4 2 2 3" xfId="2212"/>
    <cellStyle name="20% - Accent4 4 2 2 3 2" xfId="3038"/>
    <cellStyle name="20% - Accent4 4 2 2 3 2 2" xfId="6174"/>
    <cellStyle name="20% - Accent4 4 2 2 3 2 2 2" xfId="12416"/>
    <cellStyle name="20% - Accent4 4 2 2 3 2 2 3" xfId="18571"/>
    <cellStyle name="20% - Accent4 4 2 2 3 2 2 4" xfId="24698"/>
    <cellStyle name="20% - Accent4 4 2 2 3 2 3" xfId="9328"/>
    <cellStyle name="20% - Accent4 4 2 2 3 2 4" xfId="15494"/>
    <cellStyle name="20% - Accent4 4 2 2 3 2 5" xfId="21622"/>
    <cellStyle name="20% - Accent4 4 2 2 3 3" xfId="3037"/>
    <cellStyle name="20% - Accent4 4 2 2 3 3 2" xfId="6173"/>
    <cellStyle name="20% - Accent4 4 2 2 3 3 2 2" xfId="12415"/>
    <cellStyle name="20% - Accent4 4 2 2 3 3 2 3" xfId="18570"/>
    <cellStyle name="20% - Accent4 4 2 2 3 3 2 4" xfId="24697"/>
    <cellStyle name="20% - Accent4 4 2 2 3 3 3" xfId="9327"/>
    <cellStyle name="20% - Accent4 4 2 2 3 3 4" xfId="15493"/>
    <cellStyle name="20% - Accent4 4 2 2 3 3 5" xfId="21621"/>
    <cellStyle name="20% - Accent4 4 2 2 3 4" xfId="5525"/>
    <cellStyle name="20% - Accent4 4 2 2 3 4 2" xfId="11767"/>
    <cellStyle name="20% - Accent4 4 2 2 3 4 3" xfId="17922"/>
    <cellStyle name="20% - Accent4 4 2 2 3 4 4" xfId="24049"/>
    <cellStyle name="20% - Accent4 4 2 2 3 5" xfId="8679"/>
    <cellStyle name="20% - Accent4 4 2 2 3 6" xfId="14347"/>
    <cellStyle name="20% - Accent4 4 2 2 3 7" xfId="20859"/>
    <cellStyle name="20% - Accent4 4 2 2 4" xfId="3039"/>
    <cellStyle name="20% - Accent4 4 2 2 4 2" xfId="6175"/>
    <cellStyle name="20% - Accent4 4 2 2 4 2 2" xfId="12417"/>
    <cellStyle name="20% - Accent4 4 2 2 4 2 3" xfId="18572"/>
    <cellStyle name="20% - Accent4 4 2 2 4 2 4" xfId="24699"/>
    <cellStyle name="20% - Accent4 4 2 2 4 3" xfId="9329"/>
    <cellStyle name="20% - Accent4 4 2 2 4 4" xfId="15495"/>
    <cellStyle name="20% - Accent4 4 2 2 4 5" xfId="21623"/>
    <cellStyle name="20% - Accent4 4 2 2 5" xfId="3040"/>
    <cellStyle name="20% - Accent4 4 2 2 5 2" xfId="6176"/>
    <cellStyle name="20% - Accent4 4 2 2 5 2 2" xfId="12418"/>
    <cellStyle name="20% - Accent4 4 2 2 5 2 3" xfId="18573"/>
    <cellStyle name="20% - Accent4 4 2 2 5 2 4" xfId="24700"/>
    <cellStyle name="20% - Accent4 4 2 2 5 3" xfId="9330"/>
    <cellStyle name="20% - Accent4 4 2 2 5 4" xfId="15496"/>
    <cellStyle name="20% - Accent4 4 2 2 5 5" xfId="21624"/>
    <cellStyle name="20% - Accent4 4 2 2 6" xfId="3034"/>
    <cellStyle name="20% - Accent4 4 2 2 6 2" xfId="6170"/>
    <cellStyle name="20% - Accent4 4 2 2 6 2 2" xfId="12412"/>
    <cellStyle name="20% - Accent4 4 2 2 6 2 3" xfId="18567"/>
    <cellStyle name="20% - Accent4 4 2 2 6 2 4" xfId="24694"/>
    <cellStyle name="20% - Accent4 4 2 2 6 3" xfId="9324"/>
    <cellStyle name="20% - Accent4 4 2 2 6 4" xfId="15490"/>
    <cellStyle name="20% - Accent4 4 2 2 6 5" xfId="21618"/>
    <cellStyle name="20% - Accent4 4 2 2 7" xfId="5343"/>
    <cellStyle name="20% - Accent4 4 2 2 7 2" xfId="11585"/>
    <cellStyle name="20% - Accent4 4 2 2 7 3" xfId="17740"/>
    <cellStyle name="20% - Accent4 4 2 2 7 4" xfId="23867"/>
    <cellStyle name="20% - Accent4 4 2 2 8" xfId="8498"/>
    <cellStyle name="20% - Accent4 4 2 2 9" xfId="14345"/>
    <cellStyle name="20% - Accent4 4 2 3" xfId="2304"/>
    <cellStyle name="20% - Accent4 4 2 3 2" xfId="3042"/>
    <cellStyle name="20% - Accent4 4 2 3 2 2" xfId="6178"/>
    <cellStyle name="20% - Accent4 4 2 3 2 2 2" xfId="12420"/>
    <cellStyle name="20% - Accent4 4 2 3 2 2 3" xfId="18575"/>
    <cellStyle name="20% - Accent4 4 2 3 2 2 4" xfId="24702"/>
    <cellStyle name="20% - Accent4 4 2 3 2 3" xfId="9332"/>
    <cellStyle name="20% - Accent4 4 2 3 2 4" xfId="15498"/>
    <cellStyle name="20% - Accent4 4 2 3 2 5" xfId="21626"/>
    <cellStyle name="20% - Accent4 4 2 3 3" xfId="3041"/>
    <cellStyle name="20% - Accent4 4 2 3 3 2" xfId="6177"/>
    <cellStyle name="20% - Accent4 4 2 3 3 2 2" xfId="12419"/>
    <cellStyle name="20% - Accent4 4 2 3 3 2 3" xfId="18574"/>
    <cellStyle name="20% - Accent4 4 2 3 3 2 4" xfId="24701"/>
    <cellStyle name="20% - Accent4 4 2 3 3 3" xfId="9331"/>
    <cellStyle name="20% - Accent4 4 2 3 3 4" xfId="15497"/>
    <cellStyle name="20% - Accent4 4 2 3 3 5" xfId="21625"/>
    <cellStyle name="20% - Accent4 4 2 3 4" xfId="5617"/>
    <cellStyle name="20% - Accent4 4 2 3 4 2" xfId="11859"/>
    <cellStyle name="20% - Accent4 4 2 3 4 3" xfId="18014"/>
    <cellStyle name="20% - Accent4 4 2 3 4 4" xfId="24141"/>
    <cellStyle name="20% - Accent4 4 2 3 5" xfId="8771"/>
    <cellStyle name="20% - Accent4 4 2 3 6" xfId="14348"/>
    <cellStyle name="20% - Accent4 4 2 3 7" xfId="20951"/>
    <cellStyle name="20% - Accent4 4 2 4" xfId="2137"/>
    <cellStyle name="20% - Accent4 4 2 4 2" xfId="3044"/>
    <cellStyle name="20% - Accent4 4 2 4 2 2" xfId="6180"/>
    <cellStyle name="20% - Accent4 4 2 4 2 2 2" xfId="12422"/>
    <cellStyle name="20% - Accent4 4 2 4 2 2 3" xfId="18577"/>
    <cellStyle name="20% - Accent4 4 2 4 2 2 4" xfId="24704"/>
    <cellStyle name="20% - Accent4 4 2 4 2 3" xfId="9334"/>
    <cellStyle name="20% - Accent4 4 2 4 2 4" xfId="15500"/>
    <cellStyle name="20% - Accent4 4 2 4 2 5" xfId="21628"/>
    <cellStyle name="20% - Accent4 4 2 4 3" xfId="3043"/>
    <cellStyle name="20% - Accent4 4 2 4 3 2" xfId="6179"/>
    <cellStyle name="20% - Accent4 4 2 4 3 2 2" xfId="12421"/>
    <cellStyle name="20% - Accent4 4 2 4 3 2 3" xfId="18576"/>
    <cellStyle name="20% - Accent4 4 2 4 3 2 4" xfId="24703"/>
    <cellStyle name="20% - Accent4 4 2 4 3 3" xfId="9333"/>
    <cellStyle name="20% - Accent4 4 2 4 3 4" xfId="15499"/>
    <cellStyle name="20% - Accent4 4 2 4 3 5" xfId="21627"/>
    <cellStyle name="20% - Accent4 4 2 4 4" xfId="5450"/>
    <cellStyle name="20% - Accent4 4 2 4 4 2" xfId="11692"/>
    <cellStyle name="20% - Accent4 4 2 4 4 3" xfId="17847"/>
    <cellStyle name="20% - Accent4 4 2 4 4 4" xfId="23974"/>
    <cellStyle name="20% - Accent4 4 2 4 5" xfId="8604"/>
    <cellStyle name="20% - Accent4 4 2 4 6" xfId="14349"/>
    <cellStyle name="20% - Accent4 4 2 4 7" xfId="20784"/>
    <cellStyle name="20% - Accent4 4 2 5" xfId="774"/>
    <cellStyle name="20% - Accent4 4 2 5 2" xfId="3046"/>
    <cellStyle name="20% - Accent4 4 2 5 2 2" xfId="6182"/>
    <cellStyle name="20% - Accent4 4 2 5 2 2 2" xfId="12424"/>
    <cellStyle name="20% - Accent4 4 2 5 2 2 3" xfId="18579"/>
    <cellStyle name="20% - Accent4 4 2 5 2 2 4" xfId="24706"/>
    <cellStyle name="20% - Accent4 4 2 5 2 3" xfId="9336"/>
    <cellStyle name="20% - Accent4 4 2 5 2 4" xfId="15502"/>
    <cellStyle name="20% - Accent4 4 2 5 2 5" xfId="21630"/>
    <cellStyle name="20% - Accent4 4 2 5 3" xfId="3045"/>
    <cellStyle name="20% - Accent4 4 2 5 3 2" xfId="6181"/>
    <cellStyle name="20% - Accent4 4 2 5 3 2 2" xfId="12423"/>
    <cellStyle name="20% - Accent4 4 2 5 3 2 3" xfId="18578"/>
    <cellStyle name="20% - Accent4 4 2 5 3 2 4" xfId="24705"/>
    <cellStyle name="20% - Accent4 4 2 5 3 3" xfId="9335"/>
    <cellStyle name="20% - Accent4 4 2 5 3 4" xfId="15501"/>
    <cellStyle name="20% - Accent4 4 2 5 3 5" xfId="21629"/>
    <cellStyle name="20% - Accent4 4 2 5 4" xfId="5123"/>
    <cellStyle name="20% - Accent4 4 2 5 4 2" xfId="11366"/>
    <cellStyle name="20% - Accent4 4 2 5 4 3" xfId="17521"/>
    <cellStyle name="20% - Accent4 4 2 5 4 4" xfId="23648"/>
    <cellStyle name="20% - Accent4 4 2 5 5" xfId="8280"/>
    <cellStyle name="20% - Accent4 4 2 5 6" xfId="14350"/>
    <cellStyle name="20% - Accent4 4 2 5 7" xfId="20463"/>
    <cellStyle name="20% - Accent4 4 2 6" xfId="221"/>
    <cellStyle name="20% - Accent4 4 2 6 2" xfId="3048"/>
    <cellStyle name="20% - Accent4 4 2 6 2 2" xfId="6184"/>
    <cellStyle name="20% - Accent4 4 2 6 2 2 2" xfId="12426"/>
    <cellStyle name="20% - Accent4 4 2 6 2 2 3" xfId="18581"/>
    <cellStyle name="20% - Accent4 4 2 6 2 2 4" xfId="24708"/>
    <cellStyle name="20% - Accent4 4 2 6 2 3" xfId="9338"/>
    <cellStyle name="20% - Accent4 4 2 6 2 4" xfId="15504"/>
    <cellStyle name="20% - Accent4 4 2 6 2 5" xfId="21632"/>
    <cellStyle name="20% - Accent4 4 2 6 3" xfId="3047"/>
    <cellStyle name="20% - Accent4 4 2 6 3 2" xfId="6183"/>
    <cellStyle name="20% - Accent4 4 2 6 3 2 2" xfId="12425"/>
    <cellStyle name="20% - Accent4 4 2 6 3 2 3" xfId="18580"/>
    <cellStyle name="20% - Accent4 4 2 6 3 2 4" xfId="24707"/>
    <cellStyle name="20% - Accent4 4 2 6 3 3" xfId="9337"/>
    <cellStyle name="20% - Accent4 4 2 6 3 4" xfId="15503"/>
    <cellStyle name="20% - Accent4 4 2 6 3 5" xfId="21631"/>
    <cellStyle name="20% - Accent4 4 2 6 4" xfId="5001"/>
    <cellStyle name="20% - Accent4 4 2 6 4 2" xfId="11244"/>
    <cellStyle name="20% - Accent4 4 2 6 4 3" xfId="17399"/>
    <cellStyle name="20% - Accent4 4 2 6 4 4" xfId="23526"/>
    <cellStyle name="20% - Accent4 4 2 6 5" xfId="8159"/>
    <cellStyle name="20% - Accent4 4 2 6 6" xfId="14351"/>
    <cellStyle name="20% - Accent4 4 2 6 7" xfId="21155"/>
    <cellStyle name="20% - Accent4 4 2 7" xfId="3049"/>
    <cellStyle name="20% - Accent4 4 2 7 2" xfId="6185"/>
    <cellStyle name="20% - Accent4 4 2 7 2 2" xfId="12427"/>
    <cellStyle name="20% - Accent4 4 2 7 2 3" xfId="18582"/>
    <cellStyle name="20% - Accent4 4 2 7 2 4" xfId="24709"/>
    <cellStyle name="20% - Accent4 4 2 7 3" xfId="9339"/>
    <cellStyle name="20% - Accent4 4 2 7 4" xfId="15505"/>
    <cellStyle name="20% - Accent4 4 2 7 5" xfId="21633"/>
    <cellStyle name="20% - Accent4 4 2 8" xfId="3050"/>
    <cellStyle name="20% - Accent4 4 2 8 2" xfId="6186"/>
    <cellStyle name="20% - Accent4 4 2 8 2 2" xfId="12428"/>
    <cellStyle name="20% - Accent4 4 2 8 2 3" xfId="18583"/>
    <cellStyle name="20% - Accent4 4 2 8 2 4" xfId="24710"/>
    <cellStyle name="20% - Accent4 4 2 8 3" xfId="9340"/>
    <cellStyle name="20% - Accent4 4 2 8 4" xfId="15506"/>
    <cellStyle name="20% - Accent4 4 2 8 5" xfId="21634"/>
    <cellStyle name="20% - Accent4 4 2 9" xfId="3033"/>
    <cellStyle name="20% - Accent4 4 2 9 2" xfId="6169"/>
    <cellStyle name="20% - Accent4 4 2 9 2 2" xfId="12411"/>
    <cellStyle name="20% - Accent4 4 2 9 2 3" xfId="18566"/>
    <cellStyle name="20% - Accent4 4 2 9 2 4" xfId="24693"/>
    <cellStyle name="20% - Accent4 4 2 9 3" xfId="9323"/>
    <cellStyle name="20% - Accent4 4 2 9 4" xfId="15489"/>
    <cellStyle name="20% - Accent4 4 2 9 5" xfId="21617"/>
    <cellStyle name="20% - Accent4 5" xfId="473"/>
    <cellStyle name="20% - Accent4 5 2" xfId="3052"/>
    <cellStyle name="20% - Accent4 5 2 2" xfId="6188"/>
    <cellStyle name="20% - Accent4 5 2 2 2" xfId="12430"/>
    <cellStyle name="20% - Accent4 5 2 2 3" xfId="18585"/>
    <cellStyle name="20% - Accent4 5 2 2 4" xfId="24712"/>
    <cellStyle name="20% - Accent4 5 2 3" xfId="9342"/>
    <cellStyle name="20% - Accent4 5 2 4" xfId="15508"/>
    <cellStyle name="20% - Accent4 5 2 5" xfId="21636"/>
    <cellStyle name="20% - Accent4 5 3" xfId="3053"/>
    <cellStyle name="20% - Accent4 5 3 2" xfId="6189"/>
    <cellStyle name="20% - Accent4 5 3 2 2" xfId="12431"/>
    <cellStyle name="20% - Accent4 5 3 2 3" xfId="18586"/>
    <cellStyle name="20% - Accent4 5 3 2 4" xfId="24713"/>
    <cellStyle name="20% - Accent4 5 3 3" xfId="9343"/>
    <cellStyle name="20% - Accent4 5 3 4" xfId="15509"/>
    <cellStyle name="20% - Accent4 5 3 5" xfId="21637"/>
    <cellStyle name="20% - Accent4 5 4" xfId="3051"/>
    <cellStyle name="20% - Accent4 5 4 2" xfId="6187"/>
    <cellStyle name="20% - Accent4 5 4 2 2" xfId="12429"/>
    <cellStyle name="20% - Accent4 5 4 2 3" xfId="18584"/>
    <cellStyle name="20% - Accent4 5 4 2 4" xfId="24711"/>
    <cellStyle name="20% - Accent4 5 4 3" xfId="9341"/>
    <cellStyle name="20% - Accent4 5 4 4" xfId="15507"/>
    <cellStyle name="20% - Accent4 5 4 5" xfId="21635"/>
    <cellStyle name="20% - Accent4 5 5" xfId="5091"/>
    <cellStyle name="20% - Accent4 5 5 2" xfId="11334"/>
    <cellStyle name="20% - Accent4 5 5 3" xfId="17489"/>
    <cellStyle name="20% - Accent4 5 5 4" xfId="23616"/>
    <cellStyle name="20% - Accent4 5 6" xfId="8250"/>
    <cellStyle name="20% - Accent4 5 7" xfId="14352"/>
    <cellStyle name="20% - Accent4 5 8" xfId="20436"/>
    <cellStyle name="20% - Accent4 6" xfId="191"/>
    <cellStyle name="20% - Accent4 6 2" xfId="3055"/>
    <cellStyle name="20% - Accent4 6 2 2" xfId="6191"/>
    <cellStyle name="20% - Accent4 6 2 2 2" xfId="12433"/>
    <cellStyle name="20% - Accent4 6 2 2 3" xfId="18588"/>
    <cellStyle name="20% - Accent4 6 2 2 4" xfId="24715"/>
    <cellStyle name="20% - Accent4 6 2 3" xfId="9345"/>
    <cellStyle name="20% - Accent4 6 2 4" xfId="15511"/>
    <cellStyle name="20% - Accent4 6 2 5" xfId="21639"/>
    <cellStyle name="20% - Accent4 6 3" xfId="3054"/>
    <cellStyle name="20% - Accent4 6 3 2" xfId="6190"/>
    <cellStyle name="20% - Accent4 6 3 2 2" xfId="12432"/>
    <cellStyle name="20% - Accent4 6 3 2 3" xfId="18587"/>
    <cellStyle name="20% - Accent4 6 3 2 4" xfId="24714"/>
    <cellStyle name="20% - Accent4 6 3 3" xfId="9344"/>
    <cellStyle name="20% - Accent4 6 3 4" xfId="15510"/>
    <cellStyle name="20% - Accent4 6 3 5" xfId="21638"/>
    <cellStyle name="20% - Accent4 6 4" xfId="4972"/>
    <cellStyle name="20% - Accent4 6 4 2" xfId="11215"/>
    <cellStyle name="20% - Accent4 6 4 3" xfId="17370"/>
    <cellStyle name="20% - Accent4 6 4 4" xfId="23497"/>
    <cellStyle name="20% - Accent4 6 5" xfId="8130"/>
    <cellStyle name="20% - Accent4 6 6" xfId="15095"/>
    <cellStyle name="20% - Accent4 6 7" xfId="21223"/>
    <cellStyle name="20% - Accent4 7" xfId="3056"/>
    <cellStyle name="20% - Accent4 7 2" xfId="6192"/>
    <cellStyle name="20% - Accent4 7 2 2" xfId="12434"/>
    <cellStyle name="20% - Accent4 7 2 3" xfId="18589"/>
    <cellStyle name="20% - Accent4 7 2 4" xfId="24716"/>
    <cellStyle name="20% - Accent4 7 3" xfId="9346"/>
    <cellStyle name="20% - Accent4 7 4" xfId="15512"/>
    <cellStyle name="20% - Accent4 7 5" xfId="21640"/>
    <cellStyle name="20% - Accent4 8" xfId="4856"/>
    <cellStyle name="20% - Accent4 8 2" xfId="7901"/>
    <cellStyle name="20% - Accent4 8 2 2" xfId="14143"/>
    <cellStyle name="20% - Accent4 8 2 3" xfId="20298"/>
    <cellStyle name="20% - Accent4 8 2 4" xfId="26425"/>
    <cellStyle name="20% - Accent4 8 3" xfId="11112"/>
    <cellStyle name="20% - Accent4 8 4" xfId="17267"/>
    <cellStyle name="20% - Accent4 8 5" xfId="23394"/>
    <cellStyle name="20% - Accent4 9" xfId="4882"/>
    <cellStyle name="20% - Accent4 9 2" xfId="11128"/>
    <cellStyle name="20% - Accent4 9 3" xfId="17283"/>
    <cellStyle name="20% - Accent4 9 4" xfId="23410"/>
    <cellStyle name="20% - Accent5 10" xfId="15073"/>
    <cellStyle name="20% - Accent5 11" xfId="20319"/>
    <cellStyle name="20% - Accent5 2" xfId="56"/>
    <cellStyle name="20% - Accent5 2 10" xfId="3057"/>
    <cellStyle name="20% - Accent5 2 10 2" xfId="6193"/>
    <cellStyle name="20% - Accent5 2 10 2 2" xfId="12435"/>
    <cellStyle name="20% - Accent5 2 10 2 3" xfId="18590"/>
    <cellStyle name="20% - Accent5 2 10 2 4" xfId="24717"/>
    <cellStyle name="20% - Accent5 2 10 3" xfId="9347"/>
    <cellStyle name="20% - Accent5 2 10 4" xfId="15513"/>
    <cellStyle name="20% - Accent5 2 10 5" xfId="21641"/>
    <cellStyle name="20% - Accent5 2 11" xfId="4910"/>
    <cellStyle name="20% - Accent5 2 11 2" xfId="11154"/>
    <cellStyle name="20% - Accent5 2 11 3" xfId="17309"/>
    <cellStyle name="20% - Accent5 2 11 4" xfId="23436"/>
    <cellStyle name="20% - Accent5 2 12" xfId="8068"/>
    <cellStyle name="20% - Accent5 2 13" xfId="14353"/>
    <cellStyle name="20% - Accent5 2 14" xfId="20348"/>
    <cellStyle name="20% - Accent5 2 2" xfId="57"/>
    <cellStyle name="20% - Accent5 2 2 10" xfId="4911"/>
    <cellStyle name="20% - Accent5 2 2 10 2" xfId="11155"/>
    <cellStyle name="20% - Accent5 2 2 10 3" xfId="17310"/>
    <cellStyle name="20% - Accent5 2 2 10 4" xfId="23437"/>
    <cellStyle name="20% - Accent5 2 2 11" xfId="8069"/>
    <cellStyle name="20% - Accent5 2 2 12" xfId="14354"/>
    <cellStyle name="20% - Accent5 2 2 13" xfId="20349"/>
    <cellStyle name="20% - Accent5 2 2 2" xfId="2003"/>
    <cellStyle name="20% - Accent5 2 2 2 10" xfId="20680"/>
    <cellStyle name="20% - Accent5 2 2 2 2" xfId="2389"/>
    <cellStyle name="20% - Accent5 2 2 2 2 2" xfId="3061"/>
    <cellStyle name="20% - Accent5 2 2 2 2 2 2" xfId="6197"/>
    <cellStyle name="20% - Accent5 2 2 2 2 2 2 2" xfId="12439"/>
    <cellStyle name="20% - Accent5 2 2 2 2 2 2 3" xfId="18594"/>
    <cellStyle name="20% - Accent5 2 2 2 2 2 2 4" xfId="24721"/>
    <cellStyle name="20% - Accent5 2 2 2 2 2 3" xfId="9351"/>
    <cellStyle name="20% - Accent5 2 2 2 2 2 4" xfId="15517"/>
    <cellStyle name="20% - Accent5 2 2 2 2 2 5" xfId="21645"/>
    <cellStyle name="20% - Accent5 2 2 2 2 3" xfId="3060"/>
    <cellStyle name="20% - Accent5 2 2 2 2 3 2" xfId="6196"/>
    <cellStyle name="20% - Accent5 2 2 2 2 3 2 2" xfId="12438"/>
    <cellStyle name="20% - Accent5 2 2 2 2 3 2 3" xfId="18593"/>
    <cellStyle name="20% - Accent5 2 2 2 2 3 2 4" xfId="24720"/>
    <cellStyle name="20% - Accent5 2 2 2 2 3 3" xfId="9350"/>
    <cellStyle name="20% - Accent5 2 2 2 2 3 4" xfId="15516"/>
    <cellStyle name="20% - Accent5 2 2 2 2 3 5" xfId="21644"/>
    <cellStyle name="20% - Accent5 2 2 2 2 4" xfId="5702"/>
    <cellStyle name="20% - Accent5 2 2 2 2 4 2" xfId="11944"/>
    <cellStyle name="20% - Accent5 2 2 2 2 4 3" xfId="18099"/>
    <cellStyle name="20% - Accent5 2 2 2 2 4 4" xfId="24226"/>
    <cellStyle name="20% - Accent5 2 2 2 2 5" xfId="8856"/>
    <cellStyle name="20% - Accent5 2 2 2 2 6" xfId="14356"/>
    <cellStyle name="20% - Accent5 2 2 2 2 7" xfId="21036"/>
    <cellStyle name="20% - Accent5 2 2 2 3" xfId="2214"/>
    <cellStyle name="20% - Accent5 2 2 2 3 2" xfId="3063"/>
    <cellStyle name="20% - Accent5 2 2 2 3 2 2" xfId="6199"/>
    <cellStyle name="20% - Accent5 2 2 2 3 2 2 2" xfId="12441"/>
    <cellStyle name="20% - Accent5 2 2 2 3 2 2 3" xfId="18596"/>
    <cellStyle name="20% - Accent5 2 2 2 3 2 2 4" xfId="24723"/>
    <cellStyle name="20% - Accent5 2 2 2 3 2 3" xfId="9353"/>
    <cellStyle name="20% - Accent5 2 2 2 3 2 4" xfId="15519"/>
    <cellStyle name="20% - Accent5 2 2 2 3 2 5" xfId="21647"/>
    <cellStyle name="20% - Accent5 2 2 2 3 3" xfId="3062"/>
    <cellStyle name="20% - Accent5 2 2 2 3 3 2" xfId="6198"/>
    <cellStyle name="20% - Accent5 2 2 2 3 3 2 2" xfId="12440"/>
    <cellStyle name="20% - Accent5 2 2 2 3 3 2 3" xfId="18595"/>
    <cellStyle name="20% - Accent5 2 2 2 3 3 2 4" xfId="24722"/>
    <cellStyle name="20% - Accent5 2 2 2 3 3 3" xfId="9352"/>
    <cellStyle name="20% - Accent5 2 2 2 3 3 4" xfId="15518"/>
    <cellStyle name="20% - Accent5 2 2 2 3 3 5" xfId="21646"/>
    <cellStyle name="20% - Accent5 2 2 2 3 4" xfId="5527"/>
    <cellStyle name="20% - Accent5 2 2 2 3 4 2" xfId="11769"/>
    <cellStyle name="20% - Accent5 2 2 2 3 4 3" xfId="17924"/>
    <cellStyle name="20% - Accent5 2 2 2 3 4 4" xfId="24051"/>
    <cellStyle name="20% - Accent5 2 2 2 3 5" xfId="8681"/>
    <cellStyle name="20% - Accent5 2 2 2 3 6" xfId="14357"/>
    <cellStyle name="20% - Accent5 2 2 2 3 7" xfId="20861"/>
    <cellStyle name="20% - Accent5 2 2 2 4" xfId="3064"/>
    <cellStyle name="20% - Accent5 2 2 2 4 2" xfId="6200"/>
    <cellStyle name="20% - Accent5 2 2 2 4 2 2" xfId="12442"/>
    <cellStyle name="20% - Accent5 2 2 2 4 2 3" xfId="18597"/>
    <cellStyle name="20% - Accent5 2 2 2 4 2 4" xfId="24724"/>
    <cellStyle name="20% - Accent5 2 2 2 4 3" xfId="9354"/>
    <cellStyle name="20% - Accent5 2 2 2 4 4" xfId="15520"/>
    <cellStyle name="20% - Accent5 2 2 2 4 5" xfId="21648"/>
    <cellStyle name="20% - Accent5 2 2 2 5" xfId="3065"/>
    <cellStyle name="20% - Accent5 2 2 2 5 2" xfId="6201"/>
    <cellStyle name="20% - Accent5 2 2 2 5 2 2" xfId="12443"/>
    <cellStyle name="20% - Accent5 2 2 2 5 2 3" xfId="18598"/>
    <cellStyle name="20% - Accent5 2 2 2 5 2 4" xfId="24725"/>
    <cellStyle name="20% - Accent5 2 2 2 5 3" xfId="9355"/>
    <cellStyle name="20% - Accent5 2 2 2 5 4" xfId="15521"/>
    <cellStyle name="20% - Accent5 2 2 2 5 5" xfId="21649"/>
    <cellStyle name="20% - Accent5 2 2 2 6" xfId="3059"/>
    <cellStyle name="20% - Accent5 2 2 2 6 2" xfId="6195"/>
    <cellStyle name="20% - Accent5 2 2 2 6 2 2" xfId="12437"/>
    <cellStyle name="20% - Accent5 2 2 2 6 2 3" xfId="18592"/>
    <cellStyle name="20% - Accent5 2 2 2 6 2 4" xfId="24719"/>
    <cellStyle name="20% - Accent5 2 2 2 6 3" xfId="9349"/>
    <cellStyle name="20% - Accent5 2 2 2 6 4" xfId="15515"/>
    <cellStyle name="20% - Accent5 2 2 2 6 5" xfId="21643"/>
    <cellStyle name="20% - Accent5 2 2 2 7" xfId="5345"/>
    <cellStyle name="20% - Accent5 2 2 2 7 2" xfId="11587"/>
    <cellStyle name="20% - Accent5 2 2 2 7 3" xfId="17742"/>
    <cellStyle name="20% - Accent5 2 2 2 7 4" xfId="23869"/>
    <cellStyle name="20% - Accent5 2 2 2 8" xfId="8500"/>
    <cellStyle name="20% - Accent5 2 2 2 9" xfId="14355"/>
    <cellStyle name="20% - Accent5 2 2 3" xfId="2306"/>
    <cellStyle name="20% - Accent5 2 2 3 2" xfId="3067"/>
    <cellStyle name="20% - Accent5 2 2 3 2 2" xfId="6203"/>
    <cellStyle name="20% - Accent5 2 2 3 2 2 2" xfId="12445"/>
    <cellStyle name="20% - Accent5 2 2 3 2 2 3" xfId="18600"/>
    <cellStyle name="20% - Accent5 2 2 3 2 2 4" xfId="24727"/>
    <cellStyle name="20% - Accent5 2 2 3 2 3" xfId="9357"/>
    <cellStyle name="20% - Accent5 2 2 3 2 4" xfId="15523"/>
    <cellStyle name="20% - Accent5 2 2 3 2 5" xfId="21651"/>
    <cellStyle name="20% - Accent5 2 2 3 3" xfId="3066"/>
    <cellStyle name="20% - Accent5 2 2 3 3 2" xfId="6202"/>
    <cellStyle name="20% - Accent5 2 2 3 3 2 2" xfId="12444"/>
    <cellStyle name="20% - Accent5 2 2 3 3 2 3" xfId="18599"/>
    <cellStyle name="20% - Accent5 2 2 3 3 2 4" xfId="24726"/>
    <cellStyle name="20% - Accent5 2 2 3 3 3" xfId="9356"/>
    <cellStyle name="20% - Accent5 2 2 3 3 4" xfId="15522"/>
    <cellStyle name="20% - Accent5 2 2 3 3 5" xfId="21650"/>
    <cellStyle name="20% - Accent5 2 2 3 4" xfId="5619"/>
    <cellStyle name="20% - Accent5 2 2 3 4 2" xfId="11861"/>
    <cellStyle name="20% - Accent5 2 2 3 4 3" xfId="18016"/>
    <cellStyle name="20% - Accent5 2 2 3 4 4" xfId="24143"/>
    <cellStyle name="20% - Accent5 2 2 3 5" xfId="8773"/>
    <cellStyle name="20% - Accent5 2 2 3 6" xfId="14358"/>
    <cellStyle name="20% - Accent5 2 2 3 7" xfId="20953"/>
    <cellStyle name="20% - Accent5 2 2 4" xfId="2139"/>
    <cellStyle name="20% - Accent5 2 2 4 2" xfId="3069"/>
    <cellStyle name="20% - Accent5 2 2 4 2 2" xfId="6205"/>
    <cellStyle name="20% - Accent5 2 2 4 2 2 2" xfId="12447"/>
    <cellStyle name="20% - Accent5 2 2 4 2 2 3" xfId="18602"/>
    <cellStyle name="20% - Accent5 2 2 4 2 2 4" xfId="24729"/>
    <cellStyle name="20% - Accent5 2 2 4 2 3" xfId="9359"/>
    <cellStyle name="20% - Accent5 2 2 4 2 4" xfId="15525"/>
    <cellStyle name="20% - Accent5 2 2 4 2 5" xfId="21653"/>
    <cellStyle name="20% - Accent5 2 2 4 3" xfId="3068"/>
    <cellStyle name="20% - Accent5 2 2 4 3 2" xfId="6204"/>
    <cellStyle name="20% - Accent5 2 2 4 3 2 2" xfId="12446"/>
    <cellStyle name="20% - Accent5 2 2 4 3 2 3" xfId="18601"/>
    <cellStyle name="20% - Accent5 2 2 4 3 2 4" xfId="24728"/>
    <cellStyle name="20% - Accent5 2 2 4 3 3" xfId="9358"/>
    <cellStyle name="20% - Accent5 2 2 4 3 4" xfId="15524"/>
    <cellStyle name="20% - Accent5 2 2 4 3 5" xfId="21652"/>
    <cellStyle name="20% - Accent5 2 2 4 4" xfId="5452"/>
    <cellStyle name="20% - Accent5 2 2 4 4 2" xfId="11694"/>
    <cellStyle name="20% - Accent5 2 2 4 4 3" xfId="17849"/>
    <cellStyle name="20% - Accent5 2 2 4 4 4" xfId="23976"/>
    <cellStyle name="20% - Accent5 2 2 4 5" xfId="8606"/>
    <cellStyle name="20% - Accent5 2 2 4 6" xfId="14359"/>
    <cellStyle name="20% - Accent5 2 2 4 7" xfId="20786"/>
    <cellStyle name="20% - Accent5 2 2 5" xfId="776"/>
    <cellStyle name="20% - Accent5 2 2 5 2" xfId="3071"/>
    <cellStyle name="20% - Accent5 2 2 5 2 2" xfId="6207"/>
    <cellStyle name="20% - Accent5 2 2 5 2 2 2" xfId="12449"/>
    <cellStyle name="20% - Accent5 2 2 5 2 2 3" xfId="18604"/>
    <cellStyle name="20% - Accent5 2 2 5 2 2 4" xfId="24731"/>
    <cellStyle name="20% - Accent5 2 2 5 2 3" xfId="9361"/>
    <cellStyle name="20% - Accent5 2 2 5 2 4" xfId="15527"/>
    <cellStyle name="20% - Accent5 2 2 5 2 5" xfId="21655"/>
    <cellStyle name="20% - Accent5 2 2 5 3" xfId="3070"/>
    <cellStyle name="20% - Accent5 2 2 5 3 2" xfId="6206"/>
    <cellStyle name="20% - Accent5 2 2 5 3 2 2" xfId="12448"/>
    <cellStyle name="20% - Accent5 2 2 5 3 2 3" xfId="18603"/>
    <cellStyle name="20% - Accent5 2 2 5 3 2 4" xfId="24730"/>
    <cellStyle name="20% - Accent5 2 2 5 3 3" xfId="9360"/>
    <cellStyle name="20% - Accent5 2 2 5 3 4" xfId="15526"/>
    <cellStyle name="20% - Accent5 2 2 5 3 5" xfId="21654"/>
    <cellStyle name="20% - Accent5 2 2 5 4" xfId="5125"/>
    <cellStyle name="20% - Accent5 2 2 5 4 2" xfId="11368"/>
    <cellStyle name="20% - Accent5 2 2 5 4 3" xfId="17523"/>
    <cellStyle name="20% - Accent5 2 2 5 4 4" xfId="23650"/>
    <cellStyle name="20% - Accent5 2 2 5 5" xfId="8282"/>
    <cellStyle name="20% - Accent5 2 2 5 6" xfId="14360"/>
    <cellStyle name="20% - Accent5 2 2 5 7" xfId="20465"/>
    <cellStyle name="20% - Accent5 2 2 6" xfId="223"/>
    <cellStyle name="20% - Accent5 2 2 6 2" xfId="3073"/>
    <cellStyle name="20% - Accent5 2 2 6 2 2" xfId="6209"/>
    <cellStyle name="20% - Accent5 2 2 6 2 2 2" xfId="12451"/>
    <cellStyle name="20% - Accent5 2 2 6 2 2 3" xfId="18606"/>
    <cellStyle name="20% - Accent5 2 2 6 2 2 4" xfId="24733"/>
    <cellStyle name="20% - Accent5 2 2 6 2 3" xfId="9363"/>
    <cellStyle name="20% - Accent5 2 2 6 2 4" xfId="15529"/>
    <cellStyle name="20% - Accent5 2 2 6 2 5" xfId="21657"/>
    <cellStyle name="20% - Accent5 2 2 6 3" xfId="3072"/>
    <cellStyle name="20% - Accent5 2 2 6 3 2" xfId="6208"/>
    <cellStyle name="20% - Accent5 2 2 6 3 2 2" xfId="12450"/>
    <cellStyle name="20% - Accent5 2 2 6 3 2 3" xfId="18605"/>
    <cellStyle name="20% - Accent5 2 2 6 3 2 4" xfId="24732"/>
    <cellStyle name="20% - Accent5 2 2 6 3 3" xfId="9362"/>
    <cellStyle name="20% - Accent5 2 2 6 3 4" xfId="15528"/>
    <cellStyle name="20% - Accent5 2 2 6 3 5" xfId="21656"/>
    <cellStyle name="20% - Accent5 2 2 6 4" xfId="5003"/>
    <cellStyle name="20% - Accent5 2 2 6 4 2" xfId="11246"/>
    <cellStyle name="20% - Accent5 2 2 6 4 3" xfId="17401"/>
    <cellStyle name="20% - Accent5 2 2 6 4 4" xfId="23528"/>
    <cellStyle name="20% - Accent5 2 2 6 5" xfId="8161"/>
    <cellStyle name="20% - Accent5 2 2 6 6" xfId="14361"/>
    <cellStyle name="20% - Accent5 2 2 6 7" xfId="21157"/>
    <cellStyle name="20% - Accent5 2 2 7" xfId="3074"/>
    <cellStyle name="20% - Accent5 2 2 7 2" xfId="6210"/>
    <cellStyle name="20% - Accent5 2 2 7 2 2" xfId="12452"/>
    <cellStyle name="20% - Accent5 2 2 7 2 3" xfId="18607"/>
    <cellStyle name="20% - Accent5 2 2 7 2 4" xfId="24734"/>
    <cellStyle name="20% - Accent5 2 2 7 3" xfId="9364"/>
    <cellStyle name="20% - Accent5 2 2 7 4" xfId="15530"/>
    <cellStyle name="20% - Accent5 2 2 7 5" xfId="21658"/>
    <cellStyle name="20% - Accent5 2 2 8" xfId="3075"/>
    <cellStyle name="20% - Accent5 2 2 8 2" xfId="6211"/>
    <cellStyle name="20% - Accent5 2 2 8 2 2" xfId="12453"/>
    <cellStyle name="20% - Accent5 2 2 8 2 3" xfId="18608"/>
    <cellStyle name="20% - Accent5 2 2 8 2 4" xfId="24735"/>
    <cellStyle name="20% - Accent5 2 2 8 3" xfId="9365"/>
    <cellStyle name="20% - Accent5 2 2 8 4" xfId="15531"/>
    <cellStyle name="20% - Accent5 2 2 8 5" xfId="21659"/>
    <cellStyle name="20% - Accent5 2 2 9" xfId="3058"/>
    <cellStyle name="20% - Accent5 2 2 9 2" xfId="6194"/>
    <cellStyle name="20% - Accent5 2 2 9 2 2" xfId="12436"/>
    <cellStyle name="20% - Accent5 2 2 9 2 3" xfId="18591"/>
    <cellStyle name="20% - Accent5 2 2 9 2 4" xfId="24718"/>
    <cellStyle name="20% - Accent5 2 2 9 3" xfId="9348"/>
    <cellStyle name="20% - Accent5 2 2 9 4" xfId="15514"/>
    <cellStyle name="20% - Accent5 2 2 9 5" xfId="21642"/>
    <cellStyle name="20% - Accent5 2 3" xfId="950"/>
    <cellStyle name="20% - Accent5 2 3 2" xfId="2388"/>
    <cellStyle name="20% - Accent5 2 3 2 2" xfId="3077"/>
    <cellStyle name="20% - Accent5 2 3 2 2 2" xfId="6213"/>
    <cellStyle name="20% - Accent5 2 3 2 2 2 2" xfId="12455"/>
    <cellStyle name="20% - Accent5 2 3 2 2 2 3" xfId="18610"/>
    <cellStyle name="20% - Accent5 2 3 2 2 2 4" xfId="24737"/>
    <cellStyle name="20% - Accent5 2 3 2 2 3" xfId="9367"/>
    <cellStyle name="20% - Accent5 2 3 2 2 4" xfId="15533"/>
    <cellStyle name="20% - Accent5 2 3 2 2 5" xfId="21661"/>
    <cellStyle name="20% - Accent5 2 3 2 3" xfId="3076"/>
    <cellStyle name="20% - Accent5 2 3 2 3 2" xfId="6212"/>
    <cellStyle name="20% - Accent5 2 3 2 3 2 2" xfId="12454"/>
    <cellStyle name="20% - Accent5 2 3 2 3 2 3" xfId="18609"/>
    <cellStyle name="20% - Accent5 2 3 2 3 2 4" xfId="24736"/>
    <cellStyle name="20% - Accent5 2 3 2 3 3" xfId="9366"/>
    <cellStyle name="20% - Accent5 2 3 2 3 4" xfId="15532"/>
    <cellStyle name="20% - Accent5 2 3 2 3 5" xfId="21660"/>
    <cellStyle name="20% - Accent5 2 3 2 4" xfId="5701"/>
    <cellStyle name="20% - Accent5 2 3 2 4 2" xfId="11943"/>
    <cellStyle name="20% - Accent5 2 3 2 4 3" xfId="18098"/>
    <cellStyle name="20% - Accent5 2 3 2 4 4" xfId="24225"/>
    <cellStyle name="20% - Accent5 2 3 2 5" xfId="8855"/>
    <cellStyle name="20% - Accent5 2 3 2 6" xfId="14362"/>
    <cellStyle name="20% - Accent5 2 3 2 7" xfId="21035"/>
    <cellStyle name="20% - Accent5 2 3 3" xfId="2213"/>
    <cellStyle name="20% - Accent5 2 3 3 2" xfId="3079"/>
    <cellStyle name="20% - Accent5 2 3 3 2 2" xfId="6215"/>
    <cellStyle name="20% - Accent5 2 3 3 2 2 2" xfId="12457"/>
    <cellStyle name="20% - Accent5 2 3 3 2 2 3" xfId="18612"/>
    <cellStyle name="20% - Accent5 2 3 3 2 2 4" xfId="24739"/>
    <cellStyle name="20% - Accent5 2 3 3 2 3" xfId="9369"/>
    <cellStyle name="20% - Accent5 2 3 3 2 4" xfId="15535"/>
    <cellStyle name="20% - Accent5 2 3 3 2 5" xfId="21663"/>
    <cellStyle name="20% - Accent5 2 3 3 3" xfId="3078"/>
    <cellStyle name="20% - Accent5 2 3 3 3 2" xfId="6214"/>
    <cellStyle name="20% - Accent5 2 3 3 3 2 2" xfId="12456"/>
    <cellStyle name="20% - Accent5 2 3 3 3 2 3" xfId="18611"/>
    <cellStyle name="20% - Accent5 2 3 3 3 2 4" xfId="24738"/>
    <cellStyle name="20% - Accent5 2 3 3 3 3" xfId="9368"/>
    <cellStyle name="20% - Accent5 2 3 3 3 4" xfId="15534"/>
    <cellStyle name="20% - Accent5 2 3 3 3 5" xfId="21662"/>
    <cellStyle name="20% - Accent5 2 3 3 4" xfId="5526"/>
    <cellStyle name="20% - Accent5 2 3 3 4 2" xfId="11768"/>
    <cellStyle name="20% - Accent5 2 3 3 4 3" xfId="17923"/>
    <cellStyle name="20% - Accent5 2 3 3 4 4" xfId="24050"/>
    <cellStyle name="20% - Accent5 2 3 3 5" xfId="8680"/>
    <cellStyle name="20% - Accent5 2 3 3 6" xfId="14363"/>
    <cellStyle name="20% - Accent5 2 3 3 7" xfId="20860"/>
    <cellStyle name="20% - Accent5 2 3 4" xfId="2002"/>
    <cellStyle name="20% - Accent5 2 3 4 2" xfId="3081"/>
    <cellStyle name="20% - Accent5 2 3 4 2 2" xfId="6217"/>
    <cellStyle name="20% - Accent5 2 3 4 2 2 2" xfId="12459"/>
    <cellStyle name="20% - Accent5 2 3 4 2 2 3" xfId="18614"/>
    <cellStyle name="20% - Accent5 2 3 4 2 2 4" xfId="24741"/>
    <cellStyle name="20% - Accent5 2 3 4 2 3" xfId="9371"/>
    <cellStyle name="20% - Accent5 2 3 4 2 4" xfId="15537"/>
    <cellStyle name="20% - Accent5 2 3 4 2 5" xfId="21665"/>
    <cellStyle name="20% - Accent5 2 3 4 3" xfId="3080"/>
    <cellStyle name="20% - Accent5 2 3 4 3 2" xfId="6216"/>
    <cellStyle name="20% - Accent5 2 3 4 3 2 2" xfId="12458"/>
    <cellStyle name="20% - Accent5 2 3 4 3 2 3" xfId="18613"/>
    <cellStyle name="20% - Accent5 2 3 4 3 2 4" xfId="24740"/>
    <cellStyle name="20% - Accent5 2 3 4 3 3" xfId="9370"/>
    <cellStyle name="20% - Accent5 2 3 4 3 4" xfId="15536"/>
    <cellStyle name="20% - Accent5 2 3 4 3 5" xfId="21664"/>
    <cellStyle name="20% - Accent5 2 3 4 4" xfId="5344"/>
    <cellStyle name="20% - Accent5 2 3 4 4 2" xfId="11586"/>
    <cellStyle name="20% - Accent5 2 3 4 4 3" xfId="17741"/>
    <cellStyle name="20% - Accent5 2 3 4 4 4" xfId="23868"/>
    <cellStyle name="20% - Accent5 2 3 4 5" xfId="8499"/>
    <cellStyle name="20% - Accent5 2 3 4 6" xfId="14364"/>
    <cellStyle name="20% - Accent5 2 3 4 7" xfId="20679"/>
    <cellStyle name="20% - Accent5 2 3 5" xfId="3082"/>
    <cellStyle name="20% - Accent5 2 3 6" xfId="3083"/>
    <cellStyle name="20% - Accent5 2 3 6 2" xfId="6218"/>
    <cellStyle name="20% - Accent5 2 3 6 2 2" xfId="12460"/>
    <cellStyle name="20% - Accent5 2 3 6 2 3" xfId="18615"/>
    <cellStyle name="20% - Accent5 2 3 6 2 4" xfId="24742"/>
    <cellStyle name="20% - Accent5 2 3 6 3" xfId="9372"/>
    <cellStyle name="20% - Accent5 2 3 6 4" xfId="15538"/>
    <cellStyle name="20% - Accent5 2 3 6 5" xfId="21666"/>
    <cellStyle name="20% - Accent5 2 4" xfId="2305"/>
    <cellStyle name="20% - Accent5 2 4 2" xfId="3085"/>
    <cellStyle name="20% - Accent5 2 4 2 2" xfId="6220"/>
    <cellStyle name="20% - Accent5 2 4 2 2 2" xfId="12462"/>
    <cellStyle name="20% - Accent5 2 4 2 2 3" xfId="18617"/>
    <cellStyle name="20% - Accent5 2 4 2 2 4" xfId="24744"/>
    <cellStyle name="20% - Accent5 2 4 2 3" xfId="9374"/>
    <cellStyle name="20% - Accent5 2 4 2 4" xfId="15540"/>
    <cellStyle name="20% - Accent5 2 4 2 5" xfId="21668"/>
    <cellStyle name="20% - Accent5 2 4 3" xfId="3084"/>
    <cellStyle name="20% - Accent5 2 4 3 2" xfId="6219"/>
    <cellStyle name="20% - Accent5 2 4 3 2 2" xfId="12461"/>
    <cellStyle name="20% - Accent5 2 4 3 2 3" xfId="18616"/>
    <cellStyle name="20% - Accent5 2 4 3 2 4" xfId="24743"/>
    <cellStyle name="20% - Accent5 2 4 3 3" xfId="9373"/>
    <cellStyle name="20% - Accent5 2 4 3 4" xfId="15539"/>
    <cellStyle name="20% - Accent5 2 4 3 5" xfId="21667"/>
    <cellStyle name="20% - Accent5 2 4 4" xfId="5618"/>
    <cellStyle name="20% - Accent5 2 4 4 2" xfId="11860"/>
    <cellStyle name="20% - Accent5 2 4 4 3" xfId="18015"/>
    <cellStyle name="20% - Accent5 2 4 4 4" xfId="24142"/>
    <cellStyle name="20% - Accent5 2 4 5" xfId="8772"/>
    <cellStyle name="20% - Accent5 2 4 6" xfId="14365"/>
    <cellStyle name="20% - Accent5 2 4 7" xfId="20952"/>
    <cellStyle name="20% - Accent5 2 5" xfId="2138"/>
    <cellStyle name="20% - Accent5 2 5 2" xfId="3087"/>
    <cellStyle name="20% - Accent5 2 5 2 2" xfId="6222"/>
    <cellStyle name="20% - Accent5 2 5 2 2 2" xfId="12464"/>
    <cellStyle name="20% - Accent5 2 5 2 2 3" xfId="18619"/>
    <cellStyle name="20% - Accent5 2 5 2 2 4" xfId="24746"/>
    <cellStyle name="20% - Accent5 2 5 2 3" xfId="9376"/>
    <cellStyle name="20% - Accent5 2 5 2 4" xfId="15542"/>
    <cellStyle name="20% - Accent5 2 5 2 5" xfId="21670"/>
    <cellStyle name="20% - Accent5 2 5 3" xfId="3086"/>
    <cellStyle name="20% - Accent5 2 5 3 2" xfId="6221"/>
    <cellStyle name="20% - Accent5 2 5 3 2 2" xfId="12463"/>
    <cellStyle name="20% - Accent5 2 5 3 2 3" xfId="18618"/>
    <cellStyle name="20% - Accent5 2 5 3 2 4" xfId="24745"/>
    <cellStyle name="20% - Accent5 2 5 3 3" xfId="9375"/>
    <cellStyle name="20% - Accent5 2 5 3 4" xfId="15541"/>
    <cellStyle name="20% - Accent5 2 5 3 5" xfId="21669"/>
    <cellStyle name="20% - Accent5 2 5 4" xfId="5451"/>
    <cellStyle name="20% - Accent5 2 5 4 2" xfId="11693"/>
    <cellStyle name="20% - Accent5 2 5 4 3" xfId="17848"/>
    <cellStyle name="20% - Accent5 2 5 4 4" xfId="23975"/>
    <cellStyle name="20% - Accent5 2 5 5" xfId="8605"/>
    <cellStyle name="20% - Accent5 2 5 6" xfId="14366"/>
    <cellStyle name="20% - Accent5 2 5 7" xfId="20785"/>
    <cellStyle name="20% - Accent5 2 6" xfId="775"/>
    <cellStyle name="20% - Accent5 2 6 2" xfId="3089"/>
    <cellStyle name="20% - Accent5 2 6 2 2" xfId="6224"/>
    <cellStyle name="20% - Accent5 2 6 2 2 2" xfId="12466"/>
    <cellStyle name="20% - Accent5 2 6 2 2 3" xfId="18621"/>
    <cellStyle name="20% - Accent5 2 6 2 2 4" xfId="24748"/>
    <cellStyle name="20% - Accent5 2 6 2 3" xfId="9378"/>
    <cellStyle name="20% - Accent5 2 6 2 4" xfId="15544"/>
    <cellStyle name="20% - Accent5 2 6 2 5" xfId="21672"/>
    <cellStyle name="20% - Accent5 2 6 3" xfId="3088"/>
    <cellStyle name="20% - Accent5 2 6 3 2" xfId="6223"/>
    <cellStyle name="20% - Accent5 2 6 3 2 2" xfId="12465"/>
    <cellStyle name="20% - Accent5 2 6 3 2 3" xfId="18620"/>
    <cellStyle name="20% - Accent5 2 6 3 2 4" xfId="24747"/>
    <cellStyle name="20% - Accent5 2 6 3 3" xfId="9377"/>
    <cellStyle name="20% - Accent5 2 6 3 4" xfId="15543"/>
    <cellStyle name="20% - Accent5 2 6 3 5" xfId="21671"/>
    <cellStyle name="20% - Accent5 2 6 4" xfId="5124"/>
    <cellStyle name="20% - Accent5 2 6 4 2" xfId="11367"/>
    <cellStyle name="20% - Accent5 2 6 4 3" xfId="17522"/>
    <cellStyle name="20% - Accent5 2 6 4 4" xfId="23649"/>
    <cellStyle name="20% - Accent5 2 6 5" xfId="8281"/>
    <cellStyle name="20% - Accent5 2 6 6" xfId="14367"/>
    <cellStyle name="20% - Accent5 2 6 7" xfId="20464"/>
    <cellStyle name="20% - Accent5 2 7" xfId="222"/>
    <cellStyle name="20% - Accent5 2 7 2" xfId="3091"/>
    <cellStyle name="20% - Accent5 2 7 2 2" xfId="6226"/>
    <cellStyle name="20% - Accent5 2 7 2 2 2" xfId="12468"/>
    <cellStyle name="20% - Accent5 2 7 2 2 3" xfId="18623"/>
    <cellStyle name="20% - Accent5 2 7 2 2 4" xfId="24750"/>
    <cellStyle name="20% - Accent5 2 7 2 3" xfId="9380"/>
    <cellStyle name="20% - Accent5 2 7 2 4" xfId="15546"/>
    <cellStyle name="20% - Accent5 2 7 2 5" xfId="21674"/>
    <cellStyle name="20% - Accent5 2 7 3" xfId="3090"/>
    <cellStyle name="20% - Accent5 2 7 3 2" xfId="6225"/>
    <cellStyle name="20% - Accent5 2 7 3 2 2" xfId="12467"/>
    <cellStyle name="20% - Accent5 2 7 3 2 3" xfId="18622"/>
    <cellStyle name="20% - Accent5 2 7 3 2 4" xfId="24749"/>
    <cellStyle name="20% - Accent5 2 7 3 3" xfId="9379"/>
    <cellStyle name="20% - Accent5 2 7 3 4" xfId="15545"/>
    <cellStyle name="20% - Accent5 2 7 3 5" xfId="21673"/>
    <cellStyle name="20% - Accent5 2 7 4" xfId="5002"/>
    <cellStyle name="20% - Accent5 2 7 4 2" xfId="11245"/>
    <cellStyle name="20% - Accent5 2 7 4 3" xfId="17400"/>
    <cellStyle name="20% - Accent5 2 7 4 4" xfId="23527"/>
    <cellStyle name="20% - Accent5 2 7 5" xfId="8160"/>
    <cellStyle name="20% - Accent5 2 7 6" xfId="14368"/>
    <cellStyle name="20% - Accent5 2 7 7" xfId="21156"/>
    <cellStyle name="20% - Accent5 2 8" xfId="3092"/>
    <cellStyle name="20% - Accent5 2 8 2" xfId="6227"/>
    <cellStyle name="20% - Accent5 2 8 2 2" xfId="12469"/>
    <cellStyle name="20% - Accent5 2 8 2 3" xfId="18624"/>
    <cellStyle name="20% - Accent5 2 8 2 4" xfId="24751"/>
    <cellStyle name="20% - Accent5 2 8 3" xfId="9381"/>
    <cellStyle name="20% - Accent5 2 8 4" xfId="15547"/>
    <cellStyle name="20% - Accent5 2 8 5" xfId="21675"/>
    <cellStyle name="20% - Accent5 2 9" xfId="3093"/>
    <cellStyle name="20% - Accent5 2 9 2" xfId="6228"/>
    <cellStyle name="20% - Accent5 2 9 2 2" xfId="12470"/>
    <cellStyle name="20% - Accent5 2 9 2 3" xfId="18625"/>
    <cellStyle name="20% - Accent5 2 9 2 4" xfId="24752"/>
    <cellStyle name="20% - Accent5 2 9 3" xfId="9382"/>
    <cellStyle name="20% - Accent5 2 9 4" xfId="15548"/>
    <cellStyle name="20% - Accent5 2 9 5" xfId="21676"/>
    <cellStyle name="20% - Accent5 3" xfId="58"/>
    <cellStyle name="20% - Accent5 3 10" xfId="3094"/>
    <cellStyle name="20% - Accent5 3 10 2" xfId="6229"/>
    <cellStyle name="20% - Accent5 3 10 2 2" xfId="12471"/>
    <cellStyle name="20% - Accent5 3 10 2 3" xfId="18626"/>
    <cellStyle name="20% - Accent5 3 10 2 4" xfId="24753"/>
    <cellStyle name="20% - Accent5 3 10 3" xfId="9383"/>
    <cellStyle name="20% - Accent5 3 10 4" xfId="15549"/>
    <cellStyle name="20% - Accent5 3 10 5" xfId="21677"/>
    <cellStyle name="20% - Accent5 3 11" xfId="4912"/>
    <cellStyle name="20% - Accent5 3 11 2" xfId="11156"/>
    <cellStyle name="20% - Accent5 3 11 3" xfId="17311"/>
    <cellStyle name="20% - Accent5 3 11 4" xfId="23438"/>
    <cellStyle name="20% - Accent5 3 12" xfId="8070"/>
    <cellStyle name="20% - Accent5 3 13" xfId="14369"/>
    <cellStyle name="20% - Accent5 3 14" xfId="20350"/>
    <cellStyle name="20% - Accent5 3 2" xfId="59"/>
    <cellStyle name="20% - Accent5 3 2 10" xfId="4913"/>
    <cellStyle name="20% - Accent5 3 2 10 2" xfId="11157"/>
    <cellStyle name="20% - Accent5 3 2 10 3" xfId="17312"/>
    <cellStyle name="20% - Accent5 3 2 10 4" xfId="23439"/>
    <cellStyle name="20% - Accent5 3 2 11" xfId="8071"/>
    <cellStyle name="20% - Accent5 3 2 12" xfId="14370"/>
    <cellStyle name="20% - Accent5 3 2 13" xfId="20351"/>
    <cellStyle name="20% - Accent5 3 2 2" xfId="2005"/>
    <cellStyle name="20% - Accent5 3 2 2 10" xfId="20682"/>
    <cellStyle name="20% - Accent5 3 2 2 2" xfId="2391"/>
    <cellStyle name="20% - Accent5 3 2 2 2 2" xfId="3098"/>
    <cellStyle name="20% - Accent5 3 2 2 2 2 2" xfId="6233"/>
    <cellStyle name="20% - Accent5 3 2 2 2 2 2 2" xfId="12475"/>
    <cellStyle name="20% - Accent5 3 2 2 2 2 2 3" xfId="18630"/>
    <cellStyle name="20% - Accent5 3 2 2 2 2 2 4" xfId="24757"/>
    <cellStyle name="20% - Accent5 3 2 2 2 2 3" xfId="9387"/>
    <cellStyle name="20% - Accent5 3 2 2 2 2 4" xfId="15553"/>
    <cellStyle name="20% - Accent5 3 2 2 2 2 5" xfId="21681"/>
    <cellStyle name="20% - Accent5 3 2 2 2 3" xfId="3097"/>
    <cellStyle name="20% - Accent5 3 2 2 2 3 2" xfId="6232"/>
    <cellStyle name="20% - Accent5 3 2 2 2 3 2 2" xfId="12474"/>
    <cellStyle name="20% - Accent5 3 2 2 2 3 2 3" xfId="18629"/>
    <cellStyle name="20% - Accent5 3 2 2 2 3 2 4" xfId="24756"/>
    <cellStyle name="20% - Accent5 3 2 2 2 3 3" xfId="9386"/>
    <cellStyle name="20% - Accent5 3 2 2 2 3 4" xfId="15552"/>
    <cellStyle name="20% - Accent5 3 2 2 2 3 5" xfId="21680"/>
    <cellStyle name="20% - Accent5 3 2 2 2 4" xfId="5704"/>
    <cellStyle name="20% - Accent5 3 2 2 2 4 2" xfId="11946"/>
    <cellStyle name="20% - Accent5 3 2 2 2 4 3" xfId="18101"/>
    <cellStyle name="20% - Accent5 3 2 2 2 4 4" xfId="24228"/>
    <cellStyle name="20% - Accent5 3 2 2 2 5" xfId="8858"/>
    <cellStyle name="20% - Accent5 3 2 2 2 6" xfId="14372"/>
    <cellStyle name="20% - Accent5 3 2 2 2 7" xfId="21038"/>
    <cellStyle name="20% - Accent5 3 2 2 3" xfId="2216"/>
    <cellStyle name="20% - Accent5 3 2 2 3 2" xfId="3100"/>
    <cellStyle name="20% - Accent5 3 2 2 3 2 2" xfId="6235"/>
    <cellStyle name="20% - Accent5 3 2 2 3 2 2 2" xfId="12477"/>
    <cellStyle name="20% - Accent5 3 2 2 3 2 2 3" xfId="18632"/>
    <cellStyle name="20% - Accent5 3 2 2 3 2 2 4" xfId="24759"/>
    <cellStyle name="20% - Accent5 3 2 2 3 2 3" xfId="9389"/>
    <cellStyle name="20% - Accent5 3 2 2 3 2 4" xfId="15555"/>
    <cellStyle name="20% - Accent5 3 2 2 3 2 5" xfId="21683"/>
    <cellStyle name="20% - Accent5 3 2 2 3 3" xfId="3099"/>
    <cellStyle name="20% - Accent5 3 2 2 3 3 2" xfId="6234"/>
    <cellStyle name="20% - Accent5 3 2 2 3 3 2 2" xfId="12476"/>
    <cellStyle name="20% - Accent5 3 2 2 3 3 2 3" xfId="18631"/>
    <cellStyle name="20% - Accent5 3 2 2 3 3 2 4" xfId="24758"/>
    <cellStyle name="20% - Accent5 3 2 2 3 3 3" xfId="9388"/>
    <cellStyle name="20% - Accent5 3 2 2 3 3 4" xfId="15554"/>
    <cellStyle name="20% - Accent5 3 2 2 3 3 5" xfId="21682"/>
    <cellStyle name="20% - Accent5 3 2 2 3 4" xfId="5529"/>
    <cellStyle name="20% - Accent5 3 2 2 3 4 2" xfId="11771"/>
    <cellStyle name="20% - Accent5 3 2 2 3 4 3" xfId="17926"/>
    <cellStyle name="20% - Accent5 3 2 2 3 4 4" xfId="24053"/>
    <cellStyle name="20% - Accent5 3 2 2 3 5" xfId="8683"/>
    <cellStyle name="20% - Accent5 3 2 2 3 6" xfId="14373"/>
    <cellStyle name="20% - Accent5 3 2 2 3 7" xfId="20863"/>
    <cellStyle name="20% - Accent5 3 2 2 4" xfId="3101"/>
    <cellStyle name="20% - Accent5 3 2 2 4 2" xfId="6236"/>
    <cellStyle name="20% - Accent5 3 2 2 4 2 2" xfId="12478"/>
    <cellStyle name="20% - Accent5 3 2 2 4 2 3" xfId="18633"/>
    <cellStyle name="20% - Accent5 3 2 2 4 2 4" xfId="24760"/>
    <cellStyle name="20% - Accent5 3 2 2 4 3" xfId="9390"/>
    <cellStyle name="20% - Accent5 3 2 2 4 4" xfId="15556"/>
    <cellStyle name="20% - Accent5 3 2 2 4 5" xfId="21684"/>
    <cellStyle name="20% - Accent5 3 2 2 5" xfId="3102"/>
    <cellStyle name="20% - Accent5 3 2 2 5 2" xfId="6237"/>
    <cellStyle name="20% - Accent5 3 2 2 5 2 2" xfId="12479"/>
    <cellStyle name="20% - Accent5 3 2 2 5 2 3" xfId="18634"/>
    <cellStyle name="20% - Accent5 3 2 2 5 2 4" xfId="24761"/>
    <cellStyle name="20% - Accent5 3 2 2 5 3" xfId="9391"/>
    <cellStyle name="20% - Accent5 3 2 2 5 4" xfId="15557"/>
    <cellStyle name="20% - Accent5 3 2 2 5 5" xfId="21685"/>
    <cellStyle name="20% - Accent5 3 2 2 6" xfId="3096"/>
    <cellStyle name="20% - Accent5 3 2 2 6 2" xfId="6231"/>
    <cellStyle name="20% - Accent5 3 2 2 6 2 2" xfId="12473"/>
    <cellStyle name="20% - Accent5 3 2 2 6 2 3" xfId="18628"/>
    <cellStyle name="20% - Accent5 3 2 2 6 2 4" xfId="24755"/>
    <cellStyle name="20% - Accent5 3 2 2 6 3" xfId="9385"/>
    <cellStyle name="20% - Accent5 3 2 2 6 4" xfId="15551"/>
    <cellStyle name="20% - Accent5 3 2 2 6 5" xfId="21679"/>
    <cellStyle name="20% - Accent5 3 2 2 7" xfId="5347"/>
    <cellStyle name="20% - Accent5 3 2 2 7 2" xfId="11589"/>
    <cellStyle name="20% - Accent5 3 2 2 7 3" xfId="17744"/>
    <cellStyle name="20% - Accent5 3 2 2 7 4" xfId="23871"/>
    <cellStyle name="20% - Accent5 3 2 2 8" xfId="8502"/>
    <cellStyle name="20% - Accent5 3 2 2 9" xfId="14371"/>
    <cellStyle name="20% - Accent5 3 2 3" xfId="2308"/>
    <cellStyle name="20% - Accent5 3 2 3 2" xfId="3104"/>
    <cellStyle name="20% - Accent5 3 2 3 2 2" xfId="6239"/>
    <cellStyle name="20% - Accent5 3 2 3 2 2 2" xfId="12481"/>
    <cellStyle name="20% - Accent5 3 2 3 2 2 3" xfId="18636"/>
    <cellStyle name="20% - Accent5 3 2 3 2 2 4" xfId="24763"/>
    <cellStyle name="20% - Accent5 3 2 3 2 3" xfId="9393"/>
    <cellStyle name="20% - Accent5 3 2 3 2 4" xfId="15559"/>
    <cellStyle name="20% - Accent5 3 2 3 2 5" xfId="21687"/>
    <cellStyle name="20% - Accent5 3 2 3 3" xfId="3103"/>
    <cellStyle name="20% - Accent5 3 2 3 3 2" xfId="6238"/>
    <cellStyle name="20% - Accent5 3 2 3 3 2 2" xfId="12480"/>
    <cellStyle name="20% - Accent5 3 2 3 3 2 3" xfId="18635"/>
    <cellStyle name="20% - Accent5 3 2 3 3 2 4" xfId="24762"/>
    <cellStyle name="20% - Accent5 3 2 3 3 3" xfId="9392"/>
    <cellStyle name="20% - Accent5 3 2 3 3 4" xfId="15558"/>
    <cellStyle name="20% - Accent5 3 2 3 3 5" xfId="21686"/>
    <cellStyle name="20% - Accent5 3 2 3 4" xfId="5621"/>
    <cellStyle name="20% - Accent5 3 2 3 4 2" xfId="11863"/>
    <cellStyle name="20% - Accent5 3 2 3 4 3" xfId="18018"/>
    <cellStyle name="20% - Accent5 3 2 3 4 4" xfId="24145"/>
    <cellStyle name="20% - Accent5 3 2 3 5" xfId="8775"/>
    <cellStyle name="20% - Accent5 3 2 3 6" xfId="14374"/>
    <cellStyle name="20% - Accent5 3 2 3 7" xfId="20955"/>
    <cellStyle name="20% - Accent5 3 2 4" xfId="2141"/>
    <cellStyle name="20% - Accent5 3 2 4 2" xfId="3106"/>
    <cellStyle name="20% - Accent5 3 2 4 2 2" xfId="6241"/>
    <cellStyle name="20% - Accent5 3 2 4 2 2 2" xfId="12483"/>
    <cellStyle name="20% - Accent5 3 2 4 2 2 3" xfId="18638"/>
    <cellStyle name="20% - Accent5 3 2 4 2 2 4" xfId="24765"/>
    <cellStyle name="20% - Accent5 3 2 4 2 3" xfId="9395"/>
    <cellStyle name="20% - Accent5 3 2 4 2 4" xfId="15561"/>
    <cellStyle name="20% - Accent5 3 2 4 2 5" xfId="21689"/>
    <cellStyle name="20% - Accent5 3 2 4 3" xfId="3105"/>
    <cellStyle name="20% - Accent5 3 2 4 3 2" xfId="6240"/>
    <cellStyle name="20% - Accent5 3 2 4 3 2 2" xfId="12482"/>
    <cellStyle name="20% - Accent5 3 2 4 3 2 3" xfId="18637"/>
    <cellStyle name="20% - Accent5 3 2 4 3 2 4" xfId="24764"/>
    <cellStyle name="20% - Accent5 3 2 4 3 3" xfId="9394"/>
    <cellStyle name="20% - Accent5 3 2 4 3 4" xfId="15560"/>
    <cellStyle name="20% - Accent5 3 2 4 3 5" xfId="21688"/>
    <cellStyle name="20% - Accent5 3 2 4 4" xfId="5454"/>
    <cellStyle name="20% - Accent5 3 2 4 4 2" xfId="11696"/>
    <cellStyle name="20% - Accent5 3 2 4 4 3" xfId="17851"/>
    <cellStyle name="20% - Accent5 3 2 4 4 4" xfId="23978"/>
    <cellStyle name="20% - Accent5 3 2 4 5" xfId="8608"/>
    <cellStyle name="20% - Accent5 3 2 4 6" xfId="14375"/>
    <cellStyle name="20% - Accent5 3 2 4 7" xfId="20788"/>
    <cellStyle name="20% - Accent5 3 2 5" xfId="778"/>
    <cellStyle name="20% - Accent5 3 2 5 2" xfId="3108"/>
    <cellStyle name="20% - Accent5 3 2 5 2 2" xfId="6243"/>
    <cellStyle name="20% - Accent5 3 2 5 2 2 2" xfId="12485"/>
    <cellStyle name="20% - Accent5 3 2 5 2 2 3" xfId="18640"/>
    <cellStyle name="20% - Accent5 3 2 5 2 2 4" xfId="24767"/>
    <cellStyle name="20% - Accent5 3 2 5 2 3" xfId="9397"/>
    <cellStyle name="20% - Accent5 3 2 5 2 4" xfId="15563"/>
    <cellStyle name="20% - Accent5 3 2 5 2 5" xfId="21691"/>
    <cellStyle name="20% - Accent5 3 2 5 3" xfId="3107"/>
    <cellStyle name="20% - Accent5 3 2 5 3 2" xfId="6242"/>
    <cellStyle name="20% - Accent5 3 2 5 3 2 2" xfId="12484"/>
    <cellStyle name="20% - Accent5 3 2 5 3 2 3" xfId="18639"/>
    <cellStyle name="20% - Accent5 3 2 5 3 2 4" xfId="24766"/>
    <cellStyle name="20% - Accent5 3 2 5 3 3" xfId="9396"/>
    <cellStyle name="20% - Accent5 3 2 5 3 4" xfId="15562"/>
    <cellStyle name="20% - Accent5 3 2 5 3 5" xfId="21690"/>
    <cellStyle name="20% - Accent5 3 2 5 4" xfId="5127"/>
    <cellStyle name="20% - Accent5 3 2 5 4 2" xfId="11370"/>
    <cellStyle name="20% - Accent5 3 2 5 4 3" xfId="17525"/>
    <cellStyle name="20% - Accent5 3 2 5 4 4" xfId="23652"/>
    <cellStyle name="20% - Accent5 3 2 5 5" xfId="8284"/>
    <cellStyle name="20% - Accent5 3 2 5 6" xfId="14376"/>
    <cellStyle name="20% - Accent5 3 2 5 7" xfId="20467"/>
    <cellStyle name="20% - Accent5 3 2 6" xfId="225"/>
    <cellStyle name="20% - Accent5 3 2 6 2" xfId="3110"/>
    <cellStyle name="20% - Accent5 3 2 6 2 2" xfId="6245"/>
    <cellStyle name="20% - Accent5 3 2 6 2 2 2" xfId="12487"/>
    <cellStyle name="20% - Accent5 3 2 6 2 2 3" xfId="18642"/>
    <cellStyle name="20% - Accent5 3 2 6 2 2 4" xfId="24769"/>
    <cellStyle name="20% - Accent5 3 2 6 2 3" xfId="9399"/>
    <cellStyle name="20% - Accent5 3 2 6 2 4" xfId="15565"/>
    <cellStyle name="20% - Accent5 3 2 6 2 5" xfId="21693"/>
    <cellStyle name="20% - Accent5 3 2 6 3" xfId="3109"/>
    <cellStyle name="20% - Accent5 3 2 6 3 2" xfId="6244"/>
    <cellStyle name="20% - Accent5 3 2 6 3 2 2" xfId="12486"/>
    <cellStyle name="20% - Accent5 3 2 6 3 2 3" xfId="18641"/>
    <cellStyle name="20% - Accent5 3 2 6 3 2 4" xfId="24768"/>
    <cellStyle name="20% - Accent5 3 2 6 3 3" xfId="9398"/>
    <cellStyle name="20% - Accent5 3 2 6 3 4" xfId="15564"/>
    <cellStyle name="20% - Accent5 3 2 6 3 5" xfId="21692"/>
    <cellStyle name="20% - Accent5 3 2 6 4" xfId="5005"/>
    <cellStyle name="20% - Accent5 3 2 6 4 2" xfId="11248"/>
    <cellStyle name="20% - Accent5 3 2 6 4 3" xfId="17403"/>
    <cellStyle name="20% - Accent5 3 2 6 4 4" xfId="23530"/>
    <cellStyle name="20% - Accent5 3 2 6 5" xfId="8163"/>
    <cellStyle name="20% - Accent5 3 2 6 6" xfId="14377"/>
    <cellStyle name="20% - Accent5 3 2 6 7" xfId="21159"/>
    <cellStyle name="20% - Accent5 3 2 7" xfId="3111"/>
    <cellStyle name="20% - Accent5 3 2 7 2" xfId="6246"/>
    <cellStyle name="20% - Accent5 3 2 7 2 2" xfId="12488"/>
    <cellStyle name="20% - Accent5 3 2 7 2 3" xfId="18643"/>
    <cellStyle name="20% - Accent5 3 2 7 2 4" xfId="24770"/>
    <cellStyle name="20% - Accent5 3 2 7 3" xfId="9400"/>
    <cellStyle name="20% - Accent5 3 2 7 4" xfId="15566"/>
    <cellStyle name="20% - Accent5 3 2 7 5" xfId="21694"/>
    <cellStyle name="20% - Accent5 3 2 8" xfId="3112"/>
    <cellStyle name="20% - Accent5 3 2 8 2" xfId="6247"/>
    <cellStyle name="20% - Accent5 3 2 8 2 2" xfId="12489"/>
    <cellStyle name="20% - Accent5 3 2 8 2 3" xfId="18644"/>
    <cellStyle name="20% - Accent5 3 2 8 2 4" xfId="24771"/>
    <cellStyle name="20% - Accent5 3 2 8 3" xfId="9401"/>
    <cellStyle name="20% - Accent5 3 2 8 4" xfId="15567"/>
    <cellStyle name="20% - Accent5 3 2 8 5" xfId="21695"/>
    <cellStyle name="20% - Accent5 3 2 9" xfId="3095"/>
    <cellStyle name="20% - Accent5 3 2 9 2" xfId="6230"/>
    <cellStyle name="20% - Accent5 3 2 9 2 2" xfId="12472"/>
    <cellStyle name="20% - Accent5 3 2 9 2 3" xfId="18627"/>
    <cellStyle name="20% - Accent5 3 2 9 2 4" xfId="24754"/>
    <cellStyle name="20% - Accent5 3 2 9 3" xfId="9384"/>
    <cellStyle name="20% - Accent5 3 2 9 4" xfId="15550"/>
    <cellStyle name="20% - Accent5 3 2 9 5" xfId="21678"/>
    <cellStyle name="20% - Accent5 3 3" xfId="2004"/>
    <cellStyle name="20% - Accent5 3 3 10" xfId="20681"/>
    <cellStyle name="20% - Accent5 3 3 2" xfId="2390"/>
    <cellStyle name="20% - Accent5 3 3 2 2" xfId="3115"/>
    <cellStyle name="20% - Accent5 3 3 2 2 2" xfId="6250"/>
    <cellStyle name="20% - Accent5 3 3 2 2 2 2" xfId="12492"/>
    <cellStyle name="20% - Accent5 3 3 2 2 2 3" xfId="18647"/>
    <cellStyle name="20% - Accent5 3 3 2 2 2 4" xfId="24774"/>
    <cellStyle name="20% - Accent5 3 3 2 2 3" xfId="9404"/>
    <cellStyle name="20% - Accent5 3 3 2 2 4" xfId="15570"/>
    <cellStyle name="20% - Accent5 3 3 2 2 5" xfId="21698"/>
    <cellStyle name="20% - Accent5 3 3 2 3" xfId="3114"/>
    <cellStyle name="20% - Accent5 3 3 2 3 2" xfId="6249"/>
    <cellStyle name="20% - Accent5 3 3 2 3 2 2" xfId="12491"/>
    <cellStyle name="20% - Accent5 3 3 2 3 2 3" xfId="18646"/>
    <cellStyle name="20% - Accent5 3 3 2 3 2 4" xfId="24773"/>
    <cellStyle name="20% - Accent5 3 3 2 3 3" xfId="9403"/>
    <cellStyle name="20% - Accent5 3 3 2 3 4" xfId="15569"/>
    <cellStyle name="20% - Accent5 3 3 2 3 5" xfId="21697"/>
    <cellStyle name="20% - Accent5 3 3 2 4" xfId="5703"/>
    <cellStyle name="20% - Accent5 3 3 2 4 2" xfId="11945"/>
    <cellStyle name="20% - Accent5 3 3 2 4 3" xfId="18100"/>
    <cellStyle name="20% - Accent5 3 3 2 4 4" xfId="24227"/>
    <cellStyle name="20% - Accent5 3 3 2 5" xfId="8857"/>
    <cellStyle name="20% - Accent5 3 3 2 6" xfId="14379"/>
    <cellStyle name="20% - Accent5 3 3 2 7" xfId="21037"/>
    <cellStyle name="20% - Accent5 3 3 3" xfId="2215"/>
    <cellStyle name="20% - Accent5 3 3 3 2" xfId="3117"/>
    <cellStyle name="20% - Accent5 3 3 3 2 2" xfId="6252"/>
    <cellStyle name="20% - Accent5 3 3 3 2 2 2" xfId="12494"/>
    <cellStyle name="20% - Accent5 3 3 3 2 2 3" xfId="18649"/>
    <cellStyle name="20% - Accent5 3 3 3 2 2 4" xfId="24776"/>
    <cellStyle name="20% - Accent5 3 3 3 2 3" xfId="9406"/>
    <cellStyle name="20% - Accent5 3 3 3 2 4" xfId="15572"/>
    <cellStyle name="20% - Accent5 3 3 3 2 5" xfId="21700"/>
    <cellStyle name="20% - Accent5 3 3 3 3" xfId="3116"/>
    <cellStyle name="20% - Accent5 3 3 3 3 2" xfId="6251"/>
    <cellStyle name="20% - Accent5 3 3 3 3 2 2" xfId="12493"/>
    <cellStyle name="20% - Accent5 3 3 3 3 2 3" xfId="18648"/>
    <cellStyle name="20% - Accent5 3 3 3 3 2 4" xfId="24775"/>
    <cellStyle name="20% - Accent5 3 3 3 3 3" xfId="9405"/>
    <cellStyle name="20% - Accent5 3 3 3 3 4" xfId="15571"/>
    <cellStyle name="20% - Accent5 3 3 3 3 5" xfId="21699"/>
    <cellStyle name="20% - Accent5 3 3 3 4" xfId="5528"/>
    <cellStyle name="20% - Accent5 3 3 3 4 2" xfId="11770"/>
    <cellStyle name="20% - Accent5 3 3 3 4 3" xfId="17925"/>
    <cellStyle name="20% - Accent5 3 3 3 4 4" xfId="24052"/>
    <cellStyle name="20% - Accent5 3 3 3 5" xfId="8682"/>
    <cellStyle name="20% - Accent5 3 3 3 6" xfId="14380"/>
    <cellStyle name="20% - Accent5 3 3 3 7" xfId="20862"/>
    <cellStyle name="20% - Accent5 3 3 4" xfId="3118"/>
    <cellStyle name="20% - Accent5 3 3 4 2" xfId="6253"/>
    <cellStyle name="20% - Accent5 3 3 4 2 2" xfId="12495"/>
    <cellStyle name="20% - Accent5 3 3 4 2 3" xfId="18650"/>
    <cellStyle name="20% - Accent5 3 3 4 2 4" xfId="24777"/>
    <cellStyle name="20% - Accent5 3 3 4 3" xfId="9407"/>
    <cellStyle name="20% - Accent5 3 3 4 4" xfId="15573"/>
    <cellStyle name="20% - Accent5 3 3 4 5" xfId="21701"/>
    <cellStyle name="20% - Accent5 3 3 5" xfId="3119"/>
    <cellStyle name="20% - Accent5 3 3 5 2" xfId="6254"/>
    <cellStyle name="20% - Accent5 3 3 5 2 2" xfId="12496"/>
    <cellStyle name="20% - Accent5 3 3 5 2 3" xfId="18651"/>
    <cellStyle name="20% - Accent5 3 3 5 2 4" xfId="24778"/>
    <cellStyle name="20% - Accent5 3 3 5 3" xfId="9408"/>
    <cellStyle name="20% - Accent5 3 3 5 4" xfId="15574"/>
    <cellStyle name="20% - Accent5 3 3 5 5" xfId="21702"/>
    <cellStyle name="20% - Accent5 3 3 6" xfId="3113"/>
    <cellStyle name="20% - Accent5 3 3 6 2" xfId="6248"/>
    <cellStyle name="20% - Accent5 3 3 6 2 2" xfId="12490"/>
    <cellStyle name="20% - Accent5 3 3 6 2 3" xfId="18645"/>
    <cellStyle name="20% - Accent5 3 3 6 2 4" xfId="24772"/>
    <cellStyle name="20% - Accent5 3 3 6 3" xfId="9402"/>
    <cellStyle name="20% - Accent5 3 3 6 4" xfId="15568"/>
    <cellStyle name="20% - Accent5 3 3 6 5" xfId="21696"/>
    <cellStyle name="20% - Accent5 3 3 7" xfId="5346"/>
    <cellStyle name="20% - Accent5 3 3 7 2" xfId="11588"/>
    <cellStyle name="20% - Accent5 3 3 7 3" xfId="17743"/>
    <cellStyle name="20% - Accent5 3 3 7 4" xfId="23870"/>
    <cellStyle name="20% - Accent5 3 3 8" xfId="8501"/>
    <cellStyle name="20% - Accent5 3 3 9" xfId="14378"/>
    <cellStyle name="20% - Accent5 3 4" xfId="2307"/>
    <cellStyle name="20% - Accent5 3 4 2" xfId="3121"/>
    <cellStyle name="20% - Accent5 3 4 2 2" xfId="6256"/>
    <cellStyle name="20% - Accent5 3 4 2 2 2" xfId="12498"/>
    <cellStyle name="20% - Accent5 3 4 2 2 3" xfId="18653"/>
    <cellStyle name="20% - Accent5 3 4 2 2 4" xfId="24780"/>
    <cellStyle name="20% - Accent5 3 4 2 3" xfId="9410"/>
    <cellStyle name="20% - Accent5 3 4 2 4" xfId="15576"/>
    <cellStyle name="20% - Accent5 3 4 2 5" xfId="21704"/>
    <cellStyle name="20% - Accent5 3 4 3" xfId="3120"/>
    <cellStyle name="20% - Accent5 3 4 3 2" xfId="6255"/>
    <cellStyle name="20% - Accent5 3 4 3 2 2" xfId="12497"/>
    <cellStyle name="20% - Accent5 3 4 3 2 3" xfId="18652"/>
    <cellStyle name="20% - Accent5 3 4 3 2 4" xfId="24779"/>
    <cellStyle name="20% - Accent5 3 4 3 3" xfId="9409"/>
    <cellStyle name="20% - Accent5 3 4 3 4" xfId="15575"/>
    <cellStyle name="20% - Accent5 3 4 3 5" xfId="21703"/>
    <cellStyle name="20% - Accent5 3 4 4" xfId="5620"/>
    <cellStyle name="20% - Accent5 3 4 4 2" xfId="11862"/>
    <cellStyle name="20% - Accent5 3 4 4 3" xfId="18017"/>
    <cellStyle name="20% - Accent5 3 4 4 4" xfId="24144"/>
    <cellStyle name="20% - Accent5 3 4 5" xfId="8774"/>
    <cellStyle name="20% - Accent5 3 4 6" xfId="14381"/>
    <cellStyle name="20% - Accent5 3 4 7" xfId="20954"/>
    <cellStyle name="20% - Accent5 3 5" xfId="2140"/>
    <cellStyle name="20% - Accent5 3 5 2" xfId="3123"/>
    <cellStyle name="20% - Accent5 3 5 2 2" xfId="6258"/>
    <cellStyle name="20% - Accent5 3 5 2 2 2" xfId="12500"/>
    <cellStyle name="20% - Accent5 3 5 2 2 3" xfId="18655"/>
    <cellStyle name="20% - Accent5 3 5 2 2 4" xfId="24782"/>
    <cellStyle name="20% - Accent5 3 5 2 3" xfId="9412"/>
    <cellStyle name="20% - Accent5 3 5 2 4" xfId="15578"/>
    <cellStyle name="20% - Accent5 3 5 2 5" xfId="21706"/>
    <cellStyle name="20% - Accent5 3 5 3" xfId="3122"/>
    <cellStyle name="20% - Accent5 3 5 3 2" xfId="6257"/>
    <cellStyle name="20% - Accent5 3 5 3 2 2" xfId="12499"/>
    <cellStyle name="20% - Accent5 3 5 3 2 3" xfId="18654"/>
    <cellStyle name="20% - Accent5 3 5 3 2 4" xfId="24781"/>
    <cellStyle name="20% - Accent5 3 5 3 3" xfId="9411"/>
    <cellStyle name="20% - Accent5 3 5 3 4" xfId="15577"/>
    <cellStyle name="20% - Accent5 3 5 3 5" xfId="21705"/>
    <cellStyle name="20% - Accent5 3 5 4" xfId="5453"/>
    <cellStyle name="20% - Accent5 3 5 4 2" xfId="11695"/>
    <cellStyle name="20% - Accent5 3 5 4 3" xfId="17850"/>
    <cellStyle name="20% - Accent5 3 5 4 4" xfId="23977"/>
    <cellStyle name="20% - Accent5 3 5 5" xfId="8607"/>
    <cellStyle name="20% - Accent5 3 5 6" xfId="14382"/>
    <cellStyle name="20% - Accent5 3 5 7" xfId="20787"/>
    <cellStyle name="20% - Accent5 3 6" xfId="777"/>
    <cellStyle name="20% - Accent5 3 6 2" xfId="3125"/>
    <cellStyle name="20% - Accent5 3 6 2 2" xfId="6260"/>
    <cellStyle name="20% - Accent5 3 6 2 2 2" xfId="12502"/>
    <cellStyle name="20% - Accent5 3 6 2 2 3" xfId="18657"/>
    <cellStyle name="20% - Accent5 3 6 2 2 4" xfId="24784"/>
    <cellStyle name="20% - Accent5 3 6 2 3" xfId="9414"/>
    <cellStyle name="20% - Accent5 3 6 2 4" xfId="15580"/>
    <cellStyle name="20% - Accent5 3 6 2 5" xfId="21708"/>
    <cellStyle name="20% - Accent5 3 6 3" xfId="3124"/>
    <cellStyle name="20% - Accent5 3 6 3 2" xfId="6259"/>
    <cellStyle name="20% - Accent5 3 6 3 2 2" xfId="12501"/>
    <cellStyle name="20% - Accent5 3 6 3 2 3" xfId="18656"/>
    <cellStyle name="20% - Accent5 3 6 3 2 4" xfId="24783"/>
    <cellStyle name="20% - Accent5 3 6 3 3" xfId="9413"/>
    <cellStyle name="20% - Accent5 3 6 3 4" xfId="15579"/>
    <cellStyle name="20% - Accent5 3 6 3 5" xfId="21707"/>
    <cellStyle name="20% - Accent5 3 6 4" xfId="5126"/>
    <cellStyle name="20% - Accent5 3 6 4 2" xfId="11369"/>
    <cellStyle name="20% - Accent5 3 6 4 3" xfId="17524"/>
    <cellStyle name="20% - Accent5 3 6 4 4" xfId="23651"/>
    <cellStyle name="20% - Accent5 3 6 5" xfId="8283"/>
    <cellStyle name="20% - Accent5 3 6 6" xfId="14383"/>
    <cellStyle name="20% - Accent5 3 6 7" xfId="20466"/>
    <cellStyle name="20% - Accent5 3 7" xfId="224"/>
    <cellStyle name="20% - Accent5 3 7 2" xfId="3127"/>
    <cellStyle name="20% - Accent5 3 7 2 2" xfId="6262"/>
    <cellStyle name="20% - Accent5 3 7 2 2 2" xfId="12504"/>
    <cellStyle name="20% - Accent5 3 7 2 2 3" xfId="18659"/>
    <cellStyle name="20% - Accent5 3 7 2 2 4" xfId="24786"/>
    <cellStyle name="20% - Accent5 3 7 2 3" xfId="9416"/>
    <cellStyle name="20% - Accent5 3 7 2 4" xfId="15582"/>
    <cellStyle name="20% - Accent5 3 7 2 5" xfId="21710"/>
    <cellStyle name="20% - Accent5 3 7 3" xfId="3126"/>
    <cellStyle name="20% - Accent5 3 7 3 2" xfId="6261"/>
    <cellStyle name="20% - Accent5 3 7 3 2 2" xfId="12503"/>
    <cellStyle name="20% - Accent5 3 7 3 2 3" xfId="18658"/>
    <cellStyle name="20% - Accent5 3 7 3 2 4" xfId="24785"/>
    <cellStyle name="20% - Accent5 3 7 3 3" xfId="9415"/>
    <cellStyle name="20% - Accent5 3 7 3 4" xfId="15581"/>
    <cellStyle name="20% - Accent5 3 7 3 5" xfId="21709"/>
    <cellStyle name="20% - Accent5 3 7 4" xfId="5004"/>
    <cellStyle name="20% - Accent5 3 7 4 2" xfId="11247"/>
    <cellStyle name="20% - Accent5 3 7 4 3" xfId="17402"/>
    <cellStyle name="20% - Accent5 3 7 4 4" xfId="23529"/>
    <cellStyle name="20% - Accent5 3 7 5" xfId="8162"/>
    <cellStyle name="20% - Accent5 3 7 6" xfId="14384"/>
    <cellStyle name="20% - Accent5 3 7 7" xfId="21158"/>
    <cellStyle name="20% - Accent5 3 8" xfId="3128"/>
    <cellStyle name="20% - Accent5 3 8 2" xfId="6263"/>
    <cellStyle name="20% - Accent5 3 8 2 2" xfId="12505"/>
    <cellStyle name="20% - Accent5 3 8 2 3" xfId="18660"/>
    <cellStyle name="20% - Accent5 3 8 2 4" xfId="24787"/>
    <cellStyle name="20% - Accent5 3 8 3" xfId="9417"/>
    <cellStyle name="20% - Accent5 3 8 4" xfId="15583"/>
    <cellStyle name="20% - Accent5 3 8 5" xfId="21711"/>
    <cellStyle name="20% - Accent5 3 9" xfId="3129"/>
    <cellStyle name="20% - Accent5 3 9 2" xfId="6264"/>
    <cellStyle name="20% - Accent5 3 9 2 2" xfId="12506"/>
    <cellStyle name="20% - Accent5 3 9 2 3" xfId="18661"/>
    <cellStyle name="20% - Accent5 3 9 2 4" xfId="24788"/>
    <cellStyle name="20% - Accent5 3 9 3" xfId="9418"/>
    <cellStyle name="20% - Accent5 3 9 4" xfId="15584"/>
    <cellStyle name="20% - Accent5 3 9 5" xfId="21712"/>
    <cellStyle name="20% - Accent5 4" xfId="60"/>
    <cellStyle name="20% - Accent5 4 2" xfId="61"/>
    <cellStyle name="20% - Accent5 4 2 10" xfId="4914"/>
    <cellStyle name="20% - Accent5 4 2 10 2" xfId="11158"/>
    <cellStyle name="20% - Accent5 4 2 10 3" xfId="17313"/>
    <cellStyle name="20% - Accent5 4 2 10 4" xfId="23440"/>
    <cellStyle name="20% - Accent5 4 2 11" xfId="8072"/>
    <cellStyle name="20% - Accent5 4 2 12" xfId="14385"/>
    <cellStyle name="20% - Accent5 4 2 13" xfId="20352"/>
    <cellStyle name="20% - Accent5 4 2 2" xfId="2006"/>
    <cellStyle name="20% - Accent5 4 2 2 10" xfId="20683"/>
    <cellStyle name="20% - Accent5 4 2 2 2" xfId="2392"/>
    <cellStyle name="20% - Accent5 4 2 2 2 2" xfId="3133"/>
    <cellStyle name="20% - Accent5 4 2 2 2 2 2" xfId="6268"/>
    <cellStyle name="20% - Accent5 4 2 2 2 2 2 2" xfId="12510"/>
    <cellStyle name="20% - Accent5 4 2 2 2 2 2 3" xfId="18665"/>
    <cellStyle name="20% - Accent5 4 2 2 2 2 2 4" xfId="24792"/>
    <cellStyle name="20% - Accent5 4 2 2 2 2 3" xfId="9422"/>
    <cellStyle name="20% - Accent5 4 2 2 2 2 4" xfId="15588"/>
    <cellStyle name="20% - Accent5 4 2 2 2 2 5" xfId="21716"/>
    <cellStyle name="20% - Accent5 4 2 2 2 3" xfId="3132"/>
    <cellStyle name="20% - Accent5 4 2 2 2 3 2" xfId="6267"/>
    <cellStyle name="20% - Accent5 4 2 2 2 3 2 2" xfId="12509"/>
    <cellStyle name="20% - Accent5 4 2 2 2 3 2 3" xfId="18664"/>
    <cellStyle name="20% - Accent5 4 2 2 2 3 2 4" xfId="24791"/>
    <cellStyle name="20% - Accent5 4 2 2 2 3 3" xfId="9421"/>
    <cellStyle name="20% - Accent5 4 2 2 2 3 4" xfId="15587"/>
    <cellStyle name="20% - Accent5 4 2 2 2 3 5" xfId="21715"/>
    <cellStyle name="20% - Accent5 4 2 2 2 4" xfId="5705"/>
    <cellStyle name="20% - Accent5 4 2 2 2 4 2" xfId="11947"/>
    <cellStyle name="20% - Accent5 4 2 2 2 4 3" xfId="18102"/>
    <cellStyle name="20% - Accent5 4 2 2 2 4 4" xfId="24229"/>
    <cellStyle name="20% - Accent5 4 2 2 2 5" xfId="8859"/>
    <cellStyle name="20% - Accent5 4 2 2 2 6" xfId="14387"/>
    <cellStyle name="20% - Accent5 4 2 2 2 7" xfId="21039"/>
    <cellStyle name="20% - Accent5 4 2 2 3" xfId="2217"/>
    <cellStyle name="20% - Accent5 4 2 2 3 2" xfId="3135"/>
    <cellStyle name="20% - Accent5 4 2 2 3 2 2" xfId="6270"/>
    <cellStyle name="20% - Accent5 4 2 2 3 2 2 2" xfId="12512"/>
    <cellStyle name="20% - Accent5 4 2 2 3 2 2 3" xfId="18667"/>
    <cellStyle name="20% - Accent5 4 2 2 3 2 2 4" xfId="24794"/>
    <cellStyle name="20% - Accent5 4 2 2 3 2 3" xfId="9424"/>
    <cellStyle name="20% - Accent5 4 2 2 3 2 4" xfId="15590"/>
    <cellStyle name="20% - Accent5 4 2 2 3 2 5" xfId="21718"/>
    <cellStyle name="20% - Accent5 4 2 2 3 3" xfId="3134"/>
    <cellStyle name="20% - Accent5 4 2 2 3 3 2" xfId="6269"/>
    <cellStyle name="20% - Accent5 4 2 2 3 3 2 2" xfId="12511"/>
    <cellStyle name="20% - Accent5 4 2 2 3 3 2 3" xfId="18666"/>
    <cellStyle name="20% - Accent5 4 2 2 3 3 2 4" xfId="24793"/>
    <cellStyle name="20% - Accent5 4 2 2 3 3 3" xfId="9423"/>
    <cellStyle name="20% - Accent5 4 2 2 3 3 4" xfId="15589"/>
    <cellStyle name="20% - Accent5 4 2 2 3 3 5" xfId="21717"/>
    <cellStyle name="20% - Accent5 4 2 2 3 4" xfId="5530"/>
    <cellStyle name="20% - Accent5 4 2 2 3 4 2" xfId="11772"/>
    <cellStyle name="20% - Accent5 4 2 2 3 4 3" xfId="17927"/>
    <cellStyle name="20% - Accent5 4 2 2 3 4 4" xfId="24054"/>
    <cellStyle name="20% - Accent5 4 2 2 3 5" xfId="8684"/>
    <cellStyle name="20% - Accent5 4 2 2 3 6" xfId="14388"/>
    <cellStyle name="20% - Accent5 4 2 2 3 7" xfId="20864"/>
    <cellStyle name="20% - Accent5 4 2 2 4" xfId="3136"/>
    <cellStyle name="20% - Accent5 4 2 2 4 2" xfId="6271"/>
    <cellStyle name="20% - Accent5 4 2 2 4 2 2" xfId="12513"/>
    <cellStyle name="20% - Accent5 4 2 2 4 2 3" xfId="18668"/>
    <cellStyle name="20% - Accent5 4 2 2 4 2 4" xfId="24795"/>
    <cellStyle name="20% - Accent5 4 2 2 4 3" xfId="9425"/>
    <cellStyle name="20% - Accent5 4 2 2 4 4" xfId="15591"/>
    <cellStyle name="20% - Accent5 4 2 2 4 5" xfId="21719"/>
    <cellStyle name="20% - Accent5 4 2 2 5" xfId="3137"/>
    <cellStyle name="20% - Accent5 4 2 2 5 2" xfId="6272"/>
    <cellStyle name="20% - Accent5 4 2 2 5 2 2" xfId="12514"/>
    <cellStyle name="20% - Accent5 4 2 2 5 2 3" xfId="18669"/>
    <cellStyle name="20% - Accent5 4 2 2 5 2 4" xfId="24796"/>
    <cellStyle name="20% - Accent5 4 2 2 5 3" xfId="9426"/>
    <cellStyle name="20% - Accent5 4 2 2 5 4" xfId="15592"/>
    <cellStyle name="20% - Accent5 4 2 2 5 5" xfId="21720"/>
    <cellStyle name="20% - Accent5 4 2 2 6" xfId="3131"/>
    <cellStyle name="20% - Accent5 4 2 2 6 2" xfId="6266"/>
    <cellStyle name="20% - Accent5 4 2 2 6 2 2" xfId="12508"/>
    <cellStyle name="20% - Accent5 4 2 2 6 2 3" xfId="18663"/>
    <cellStyle name="20% - Accent5 4 2 2 6 2 4" xfId="24790"/>
    <cellStyle name="20% - Accent5 4 2 2 6 3" xfId="9420"/>
    <cellStyle name="20% - Accent5 4 2 2 6 4" xfId="15586"/>
    <cellStyle name="20% - Accent5 4 2 2 6 5" xfId="21714"/>
    <cellStyle name="20% - Accent5 4 2 2 7" xfId="5348"/>
    <cellStyle name="20% - Accent5 4 2 2 7 2" xfId="11590"/>
    <cellStyle name="20% - Accent5 4 2 2 7 3" xfId="17745"/>
    <cellStyle name="20% - Accent5 4 2 2 7 4" xfId="23872"/>
    <cellStyle name="20% - Accent5 4 2 2 8" xfId="8503"/>
    <cellStyle name="20% - Accent5 4 2 2 9" xfId="14386"/>
    <cellStyle name="20% - Accent5 4 2 3" xfId="2309"/>
    <cellStyle name="20% - Accent5 4 2 3 2" xfId="3139"/>
    <cellStyle name="20% - Accent5 4 2 3 2 2" xfId="6274"/>
    <cellStyle name="20% - Accent5 4 2 3 2 2 2" xfId="12516"/>
    <cellStyle name="20% - Accent5 4 2 3 2 2 3" xfId="18671"/>
    <cellStyle name="20% - Accent5 4 2 3 2 2 4" xfId="24798"/>
    <cellStyle name="20% - Accent5 4 2 3 2 3" xfId="9428"/>
    <cellStyle name="20% - Accent5 4 2 3 2 4" xfId="15594"/>
    <cellStyle name="20% - Accent5 4 2 3 2 5" xfId="21722"/>
    <cellStyle name="20% - Accent5 4 2 3 3" xfId="3138"/>
    <cellStyle name="20% - Accent5 4 2 3 3 2" xfId="6273"/>
    <cellStyle name="20% - Accent5 4 2 3 3 2 2" xfId="12515"/>
    <cellStyle name="20% - Accent5 4 2 3 3 2 3" xfId="18670"/>
    <cellStyle name="20% - Accent5 4 2 3 3 2 4" xfId="24797"/>
    <cellStyle name="20% - Accent5 4 2 3 3 3" xfId="9427"/>
    <cellStyle name="20% - Accent5 4 2 3 3 4" xfId="15593"/>
    <cellStyle name="20% - Accent5 4 2 3 3 5" xfId="21721"/>
    <cellStyle name="20% - Accent5 4 2 3 4" xfId="5622"/>
    <cellStyle name="20% - Accent5 4 2 3 4 2" xfId="11864"/>
    <cellStyle name="20% - Accent5 4 2 3 4 3" xfId="18019"/>
    <cellStyle name="20% - Accent5 4 2 3 4 4" xfId="24146"/>
    <cellStyle name="20% - Accent5 4 2 3 5" xfId="8776"/>
    <cellStyle name="20% - Accent5 4 2 3 6" xfId="14389"/>
    <cellStyle name="20% - Accent5 4 2 3 7" xfId="20956"/>
    <cellStyle name="20% - Accent5 4 2 4" xfId="2142"/>
    <cellStyle name="20% - Accent5 4 2 4 2" xfId="3141"/>
    <cellStyle name="20% - Accent5 4 2 4 2 2" xfId="6276"/>
    <cellStyle name="20% - Accent5 4 2 4 2 2 2" xfId="12518"/>
    <cellStyle name="20% - Accent5 4 2 4 2 2 3" xfId="18673"/>
    <cellStyle name="20% - Accent5 4 2 4 2 2 4" xfId="24800"/>
    <cellStyle name="20% - Accent5 4 2 4 2 3" xfId="9430"/>
    <cellStyle name="20% - Accent5 4 2 4 2 4" xfId="15596"/>
    <cellStyle name="20% - Accent5 4 2 4 2 5" xfId="21724"/>
    <cellStyle name="20% - Accent5 4 2 4 3" xfId="3140"/>
    <cellStyle name="20% - Accent5 4 2 4 3 2" xfId="6275"/>
    <cellStyle name="20% - Accent5 4 2 4 3 2 2" xfId="12517"/>
    <cellStyle name="20% - Accent5 4 2 4 3 2 3" xfId="18672"/>
    <cellStyle name="20% - Accent5 4 2 4 3 2 4" xfId="24799"/>
    <cellStyle name="20% - Accent5 4 2 4 3 3" xfId="9429"/>
    <cellStyle name="20% - Accent5 4 2 4 3 4" xfId="15595"/>
    <cellStyle name="20% - Accent5 4 2 4 3 5" xfId="21723"/>
    <cellStyle name="20% - Accent5 4 2 4 4" xfId="5455"/>
    <cellStyle name="20% - Accent5 4 2 4 4 2" xfId="11697"/>
    <cellStyle name="20% - Accent5 4 2 4 4 3" xfId="17852"/>
    <cellStyle name="20% - Accent5 4 2 4 4 4" xfId="23979"/>
    <cellStyle name="20% - Accent5 4 2 4 5" xfId="8609"/>
    <cellStyle name="20% - Accent5 4 2 4 6" xfId="14390"/>
    <cellStyle name="20% - Accent5 4 2 4 7" xfId="20789"/>
    <cellStyle name="20% - Accent5 4 2 5" xfId="779"/>
    <cellStyle name="20% - Accent5 4 2 5 2" xfId="3143"/>
    <cellStyle name="20% - Accent5 4 2 5 2 2" xfId="6278"/>
    <cellStyle name="20% - Accent5 4 2 5 2 2 2" xfId="12520"/>
    <cellStyle name="20% - Accent5 4 2 5 2 2 3" xfId="18675"/>
    <cellStyle name="20% - Accent5 4 2 5 2 2 4" xfId="24802"/>
    <cellStyle name="20% - Accent5 4 2 5 2 3" xfId="9432"/>
    <cellStyle name="20% - Accent5 4 2 5 2 4" xfId="15598"/>
    <cellStyle name="20% - Accent5 4 2 5 2 5" xfId="21726"/>
    <cellStyle name="20% - Accent5 4 2 5 3" xfId="3142"/>
    <cellStyle name="20% - Accent5 4 2 5 3 2" xfId="6277"/>
    <cellStyle name="20% - Accent5 4 2 5 3 2 2" xfId="12519"/>
    <cellStyle name="20% - Accent5 4 2 5 3 2 3" xfId="18674"/>
    <cellStyle name="20% - Accent5 4 2 5 3 2 4" xfId="24801"/>
    <cellStyle name="20% - Accent5 4 2 5 3 3" xfId="9431"/>
    <cellStyle name="20% - Accent5 4 2 5 3 4" xfId="15597"/>
    <cellStyle name="20% - Accent5 4 2 5 3 5" xfId="21725"/>
    <cellStyle name="20% - Accent5 4 2 5 4" xfId="5128"/>
    <cellStyle name="20% - Accent5 4 2 5 4 2" xfId="11371"/>
    <cellStyle name="20% - Accent5 4 2 5 4 3" xfId="17526"/>
    <cellStyle name="20% - Accent5 4 2 5 4 4" xfId="23653"/>
    <cellStyle name="20% - Accent5 4 2 5 5" xfId="8285"/>
    <cellStyle name="20% - Accent5 4 2 5 6" xfId="14391"/>
    <cellStyle name="20% - Accent5 4 2 5 7" xfId="20468"/>
    <cellStyle name="20% - Accent5 4 2 6" xfId="226"/>
    <cellStyle name="20% - Accent5 4 2 6 2" xfId="3145"/>
    <cellStyle name="20% - Accent5 4 2 6 2 2" xfId="6280"/>
    <cellStyle name="20% - Accent5 4 2 6 2 2 2" xfId="12522"/>
    <cellStyle name="20% - Accent5 4 2 6 2 2 3" xfId="18677"/>
    <cellStyle name="20% - Accent5 4 2 6 2 2 4" xfId="24804"/>
    <cellStyle name="20% - Accent5 4 2 6 2 3" xfId="9434"/>
    <cellStyle name="20% - Accent5 4 2 6 2 4" xfId="15600"/>
    <cellStyle name="20% - Accent5 4 2 6 2 5" xfId="21728"/>
    <cellStyle name="20% - Accent5 4 2 6 3" xfId="3144"/>
    <cellStyle name="20% - Accent5 4 2 6 3 2" xfId="6279"/>
    <cellStyle name="20% - Accent5 4 2 6 3 2 2" xfId="12521"/>
    <cellStyle name="20% - Accent5 4 2 6 3 2 3" xfId="18676"/>
    <cellStyle name="20% - Accent5 4 2 6 3 2 4" xfId="24803"/>
    <cellStyle name="20% - Accent5 4 2 6 3 3" xfId="9433"/>
    <cellStyle name="20% - Accent5 4 2 6 3 4" xfId="15599"/>
    <cellStyle name="20% - Accent5 4 2 6 3 5" xfId="21727"/>
    <cellStyle name="20% - Accent5 4 2 6 4" xfId="5006"/>
    <cellStyle name="20% - Accent5 4 2 6 4 2" xfId="11249"/>
    <cellStyle name="20% - Accent5 4 2 6 4 3" xfId="17404"/>
    <cellStyle name="20% - Accent5 4 2 6 4 4" xfId="23531"/>
    <cellStyle name="20% - Accent5 4 2 6 5" xfId="8164"/>
    <cellStyle name="20% - Accent5 4 2 6 6" xfId="14392"/>
    <cellStyle name="20% - Accent5 4 2 6 7" xfId="21160"/>
    <cellStyle name="20% - Accent5 4 2 7" xfId="3146"/>
    <cellStyle name="20% - Accent5 4 2 7 2" xfId="6281"/>
    <cellStyle name="20% - Accent5 4 2 7 2 2" xfId="12523"/>
    <cellStyle name="20% - Accent5 4 2 7 2 3" xfId="18678"/>
    <cellStyle name="20% - Accent5 4 2 7 2 4" xfId="24805"/>
    <cellStyle name="20% - Accent5 4 2 7 3" xfId="9435"/>
    <cellStyle name="20% - Accent5 4 2 7 4" xfId="15601"/>
    <cellStyle name="20% - Accent5 4 2 7 5" xfId="21729"/>
    <cellStyle name="20% - Accent5 4 2 8" xfId="3147"/>
    <cellStyle name="20% - Accent5 4 2 8 2" xfId="6282"/>
    <cellStyle name="20% - Accent5 4 2 8 2 2" xfId="12524"/>
    <cellStyle name="20% - Accent5 4 2 8 2 3" xfId="18679"/>
    <cellStyle name="20% - Accent5 4 2 8 2 4" xfId="24806"/>
    <cellStyle name="20% - Accent5 4 2 8 3" xfId="9436"/>
    <cellStyle name="20% - Accent5 4 2 8 4" xfId="15602"/>
    <cellStyle name="20% - Accent5 4 2 8 5" xfId="21730"/>
    <cellStyle name="20% - Accent5 4 2 9" xfId="3130"/>
    <cellStyle name="20% - Accent5 4 2 9 2" xfId="6265"/>
    <cellStyle name="20% - Accent5 4 2 9 2 2" xfId="12507"/>
    <cellStyle name="20% - Accent5 4 2 9 2 3" xfId="18662"/>
    <cellStyle name="20% - Accent5 4 2 9 2 4" xfId="24789"/>
    <cellStyle name="20% - Accent5 4 2 9 3" xfId="9419"/>
    <cellStyle name="20% - Accent5 4 2 9 4" xfId="15585"/>
    <cellStyle name="20% - Accent5 4 2 9 5" xfId="21713"/>
    <cellStyle name="20% - Accent5 5" xfId="475"/>
    <cellStyle name="20% - Accent5 5 2" xfId="3149"/>
    <cellStyle name="20% - Accent5 5 2 2" xfId="6284"/>
    <cellStyle name="20% - Accent5 5 2 2 2" xfId="12526"/>
    <cellStyle name="20% - Accent5 5 2 2 3" xfId="18681"/>
    <cellStyle name="20% - Accent5 5 2 2 4" xfId="24808"/>
    <cellStyle name="20% - Accent5 5 2 3" xfId="9438"/>
    <cellStyle name="20% - Accent5 5 2 4" xfId="15604"/>
    <cellStyle name="20% - Accent5 5 2 5" xfId="21732"/>
    <cellStyle name="20% - Accent5 5 3" xfId="3150"/>
    <cellStyle name="20% - Accent5 5 3 2" xfId="6285"/>
    <cellStyle name="20% - Accent5 5 3 2 2" xfId="12527"/>
    <cellStyle name="20% - Accent5 5 3 2 3" xfId="18682"/>
    <cellStyle name="20% - Accent5 5 3 2 4" xfId="24809"/>
    <cellStyle name="20% - Accent5 5 3 3" xfId="9439"/>
    <cellStyle name="20% - Accent5 5 3 4" xfId="15605"/>
    <cellStyle name="20% - Accent5 5 3 5" xfId="21733"/>
    <cellStyle name="20% - Accent5 5 4" xfId="3148"/>
    <cellStyle name="20% - Accent5 5 4 2" xfId="6283"/>
    <cellStyle name="20% - Accent5 5 4 2 2" xfId="12525"/>
    <cellStyle name="20% - Accent5 5 4 2 3" xfId="18680"/>
    <cellStyle name="20% - Accent5 5 4 2 4" xfId="24807"/>
    <cellStyle name="20% - Accent5 5 4 3" xfId="9437"/>
    <cellStyle name="20% - Accent5 5 4 4" xfId="15603"/>
    <cellStyle name="20% - Accent5 5 4 5" xfId="21731"/>
    <cellStyle name="20% - Accent5 5 5" xfId="5093"/>
    <cellStyle name="20% - Accent5 5 5 2" xfId="11336"/>
    <cellStyle name="20% - Accent5 5 5 3" xfId="17491"/>
    <cellStyle name="20% - Accent5 5 5 4" xfId="23618"/>
    <cellStyle name="20% - Accent5 5 6" xfId="8252"/>
    <cellStyle name="20% - Accent5 5 7" xfId="14393"/>
    <cellStyle name="20% - Accent5 5 8" xfId="20438"/>
    <cellStyle name="20% - Accent5 6" xfId="192"/>
    <cellStyle name="20% - Accent5 6 2" xfId="3152"/>
    <cellStyle name="20% - Accent5 6 2 2" xfId="6287"/>
    <cellStyle name="20% - Accent5 6 2 2 2" xfId="12529"/>
    <cellStyle name="20% - Accent5 6 2 2 3" xfId="18684"/>
    <cellStyle name="20% - Accent5 6 2 2 4" xfId="24811"/>
    <cellStyle name="20% - Accent5 6 2 3" xfId="9441"/>
    <cellStyle name="20% - Accent5 6 2 4" xfId="15607"/>
    <cellStyle name="20% - Accent5 6 2 5" xfId="21735"/>
    <cellStyle name="20% - Accent5 6 3" xfId="3151"/>
    <cellStyle name="20% - Accent5 6 3 2" xfId="6286"/>
    <cellStyle name="20% - Accent5 6 3 2 2" xfId="12528"/>
    <cellStyle name="20% - Accent5 6 3 2 3" xfId="18683"/>
    <cellStyle name="20% - Accent5 6 3 2 4" xfId="24810"/>
    <cellStyle name="20% - Accent5 6 3 3" xfId="9440"/>
    <cellStyle name="20% - Accent5 6 3 4" xfId="15606"/>
    <cellStyle name="20% - Accent5 6 3 5" xfId="21734"/>
    <cellStyle name="20% - Accent5 6 4" xfId="4973"/>
    <cellStyle name="20% - Accent5 6 4 2" xfId="11216"/>
    <cellStyle name="20% - Accent5 6 4 3" xfId="17371"/>
    <cellStyle name="20% - Accent5 6 4 4" xfId="23498"/>
    <cellStyle name="20% - Accent5 6 5" xfId="8131"/>
    <cellStyle name="20% - Accent5 6 6" xfId="15096"/>
    <cellStyle name="20% - Accent5 6 7" xfId="21224"/>
    <cellStyle name="20% - Accent5 7" xfId="3153"/>
    <cellStyle name="20% - Accent5 7 2" xfId="6288"/>
    <cellStyle name="20% - Accent5 7 2 2" xfId="12530"/>
    <cellStyle name="20% - Accent5 7 2 3" xfId="18685"/>
    <cellStyle name="20% - Accent5 7 2 4" xfId="24812"/>
    <cellStyle name="20% - Accent5 7 3" xfId="9442"/>
    <cellStyle name="20% - Accent5 7 4" xfId="15608"/>
    <cellStyle name="20% - Accent5 7 5" xfId="21736"/>
    <cellStyle name="20% - Accent5 8" xfId="4858"/>
    <cellStyle name="20% - Accent5 8 2" xfId="7903"/>
    <cellStyle name="20% - Accent5 8 2 2" xfId="14145"/>
    <cellStyle name="20% - Accent5 8 2 3" xfId="20300"/>
    <cellStyle name="20% - Accent5 8 2 4" xfId="26427"/>
    <cellStyle name="20% - Accent5 8 3" xfId="11114"/>
    <cellStyle name="20% - Accent5 8 4" xfId="17269"/>
    <cellStyle name="20% - Accent5 8 5" xfId="23396"/>
    <cellStyle name="20% - Accent5 9" xfId="4884"/>
    <cellStyle name="20% - Accent5 9 2" xfId="11130"/>
    <cellStyle name="20% - Accent5 9 3" xfId="17285"/>
    <cellStyle name="20% - Accent5 9 4" xfId="23412"/>
    <cellStyle name="20% - Accent6 10" xfId="15075"/>
    <cellStyle name="20% - Accent6 11" xfId="20320"/>
    <cellStyle name="20% - Accent6 2" xfId="62"/>
    <cellStyle name="20% - Accent6 2 10" xfId="3154"/>
    <cellStyle name="20% - Accent6 2 10 2" xfId="6289"/>
    <cellStyle name="20% - Accent6 2 10 2 2" xfId="12531"/>
    <cellStyle name="20% - Accent6 2 10 2 3" xfId="18686"/>
    <cellStyle name="20% - Accent6 2 10 2 4" xfId="24813"/>
    <cellStyle name="20% - Accent6 2 10 3" xfId="9443"/>
    <cellStyle name="20% - Accent6 2 10 4" xfId="15609"/>
    <cellStyle name="20% - Accent6 2 10 5" xfId="21737"/>
    <cellStyle name="20% - Accent6 2 11" xfId="4915"/>
    <cellStyle name="20% - Accent6 2 11 2" xfId="11159"/>
    <cellStyle name="20% - Accent6 2 11 3" xfId="17314"/>
    <cellStyle name="20% - Accent6 2 11 4" xfId="23441"/>
    <cellStyle name="20% - Accent6 2 12" xfId="8073"/>
    <cellStyle name="20% - Accent6 2 13" xfId="14394"/>
    <cellStyle name="20% - Accent6 2 14" xfId="20353"/>
    <cellStyle name="20% - Accent6 2 2" xfId="63"/>
    <cellStyle name="20% - Accent6 2 2 10" xfId="4916"/>
    <cellStyle name="20% - Accent6 2 2 10 2" xfId="11160"/>
    <cellStyle name="20% - Accent6 2 2 10 3" xfId="17315"/>
    <cellStyle name="20% - Accent6 2 2 10 4" xfId="23442"/>
    <cellStyle name="20% - Accent6 2 2 11" xfId="8074"/>
    <cellStyle name="20% - Accent6 2 2 12" xfId="14395"/>
    <cellStyle name="20% - Accent6 2 2 13" xfId="20354"/>
    <cellStyle name="20% - Accent6 2 2 2" xfId="2008"/>
    <cellStyle name="20% - Accent6 2 2 2 10" xfId="20685"/>
    <cellStyle name="20% - Accent6 2 2 2 2" xfId="2394"/>
    <cellStyle name="20% - Accent6 2 2 2 2 2" xfId="3158"/>
    <cellStyle name="20% - Accent6 2 2 2 2 2 2" xfId="6293"/>
    <cellStyle name="20% - Accent6 2 2 2 2 2 2 2" xfId="12535"/>
    <cellStyle name="20% - Accent6 2 2 2 2 2 2 3" xfId="18690"/>
    <cellStyle name="20% - Accent6 2 2 2 2 2 2 4" xfId="24817"/>
    <cellStyle name="20% - Accent6 2 2 2 2 2 3" xfId="9447"/>
    <cellStyle name="20% - Accent6 2 2 2 2 2 4" xfId="15613"/>
    <cellStyle name="20% - Accent6 2 2 2 2 2 5" xfId="21741"/>
    <cellStyle name="20% - Accent6 2 2 2 2 3" xfId="3157"/>
    <cellStyle name="20% - Accent6 2 2 2 2 3 2" xfId="6292"/>
    <cellStyle name="20% - Accent6 2 2 2 2 3 2 2" xfId="12534"/>
    <cellStyle name="20% - Accent6 2 2 2 2 3 2 3" xfId="18689"/>
    <cellStyle name="20% - Accent6 2 2 2 2 3 2 4" xfId="24816"/>
    <cellStyle name="20% - Accent6 2 2 2 2 3 3" xfId="9446"/>
    <cellStyle name="20% - Accent6 2 2 2 2 3 4" xfId="15612"/>
    <cellStyle name="20% - Accent6 2 2 2 2 3 5" xfId="21740"/>
    <cellStyle name="20% - Accent6 2 2 2 2 4" xfId="5707"/>
    <cellStyle name="20% - Accent6 2 2 2 2 4 2" xfId="11949"/>
    <cellStyle name="20% - Accent6 2 2 2 2 4 3" xfId="18104"/>
    <cellStyle name="20% - Accent6 2 2 2 2 4 4" xfId="24231"/>
    <cellStyle name="20% - Accent6 2 2 2 2 5" xfId="8861"/>
    <cellStyle name="20% - Accent6 2 2 2 2 6" xfId="14397"/>
    <cellStyle name="20% - Accent6 2 2 2 2 7" xfId="21041"/>
    <cellStyle name="20% - Accent6 2 2 2 3" xfId="2219"/>
    <cellStyle name="20% - Accent6 2 2 2 3 2" xfId="3160"/>
    <cellStyle name="20% - Accent6 2 2 2 3 2 2" xfId="6295"/>
    <cellStyle name="20% - Accent6 2 2 2 3 2 2 2" xfId="12537"/>
    <cellStyle name="20% - Accent6 2 2 2 3 2 2 3" xfId="18692"/>
    <cellStyle name="20% - Accent6 2 2 2 3 2 2 4" xfId="24819"/>
    <cellStyle name="20% - Accent6 2 2 2 3 2 3" xfId="9449"/>
    <cellStyle name="20% - Accent6 2 2 2 3 2 4" xfId="15615"/>
    <cellStyle name="20% - Accent6 2 2 2 3 2 5" xfId="21743"/>
    <cellStyle name="20% - Accent6 2 2 2 3 3" xfId="3159"/>
    <cellStyle name="20% - Accent6 2 2 2 3 3 2" xfId="6294"/>
    <cellStyle name="20% - Accent6 2 2 2 3 3 2 2" xfId="12536"/>
    <cellStyle name="20% - Accent6 2 2 2 3 3 2 3" xfId="18691"/>
    <cellStyle name="20% - Accent6 2 2 2 3 3 2 4" xfId="24818"/>
    <cellStyle name="20% - Accent6 2 2 2 3 3 3" xfId="9448"/>
    <cellStyle name="20% - Accent6 2 2 2 3 3 4" xfId="15614"/>
    <cellStyle name="20% - Accent6 2 2 2 3 3 5" xfId="21742"/>
    <cellStyle name="20% - Accent6 2 2 2 3 4" xfId="5532"/>
    <cellStyle name="20% - Accent6 2 2 2 3 4 2" xfId="11774"/>
    <cellStyle name="20% - Accent6 2 2 2 3 4 3" xfId="17929"/>
    <cellStyle name="20% - Accent6 2 2 2 3 4 4" xfId="24056"/>
    <cellStyle name="20% - Accent6 2 2 2 3 5" xfId="8686"/>
    <cellStyle name="20% - Accent6 2 2 2 3 6" xfId="14398"/>
    <cellStyle name="20% - Accent6 2 2 2 3 7" xfId="20866"/>
    <cellStyle name="20% - Accent6 2 2 2 4" xfId="3161"/>
    <cellStyle name="20% - Accent6 2 2 2 4 2" xfId="6296"/>
    <cellStyle name="20% - Accent6 2 2 2 4 2 2" xfId="12538"/>
    <cellStyle name="20% - Accent6 2 2 2 4 2 3" xfId="18693"/>
    <cellStyle name="20% - Accent6 2 2 2 4 2 4" xfId="24820"/>
    <cellStyle name="20% - Accent6 2 2 2 4 3" xfId="9450"/>
    <cellStyle name="20% - Accent6 2 2 2 4 4" xfId="15616"/>
    <cellStyle name="20% - Accent6 2 2 2 4 5" xfId="21744"/>
    <cellStyle name="20% - Accent6 2 2 2 5" xfId="3162"/>
    <cellStyle name="20% - Accent6 2 2 2 5 2" xfId="6297"/>
    <cellStyle name="20% - Accent6 2 2 2 5 2 2" xfId="12539"/>
    <cellStyle name="20% - Accent6 2 2 2 5 2 3" xfId="18694"/>
    <cellStyle name="20% - Accent6 2 2 2 5 2 4" xfId="24821"/>
    <cellStyle name="20% - Accent6 2 2 2 5 3" xfId="9451"/>
    <cellStyle name="20% - Accent6 2 2 2 5 4" xfId="15617"/>
    <cellStyle name="20% - Accent6 2 2 2 5 5" xfId="21745"/>
    <cellStyle name="20% - Accent6 2 2 2 6" xfId="3156"/>
    <cellStyle name="20% - Accent6 2 2 2 6 2" xfId="6291"/>
    <cellStyle name="20% - Accent6 2 2 2 6 2 2" xfId="12533"/>
    <cellStyle name="20% - Accent6 2 2 2 6 2 3" xfId="18688"/>
    <cellStyle name="20% - Accent6 2 2 2 6 2 4" xfId="24815"/>
    <cellStyle name="20% - Accent6 2 2 2 6 3" xfId="9445"/>
    <cellStyle name="20% - Accent6 2 2 2 6 4" xfId="15611"/>
    <cellStyle name="20% - Accent6 2 2 2 6 5" xfId="21739"/>
    <cellStyle name="20% - Accent6 2 2 2 7" xfId="5350"/>
    <cellStyle name="20% - Accent6 2 2 2 7 2" xfId="11592"/>
    <cellStyle name="20% - Accent6 2 2 2 7 3" xfId="17747"/>
    <cellStyle name="20% - Accent6 2 2 2 7 4" xfId="23874"/>
    <cellStyle name="20% - Accent6 2 2 2 8" xfId="8505"/>
    <cellStyle name="20% - Accent6 2 2 2 9" xfId="14396"/>
    <cellStyle name="20% - Accent6 2 2 3" xfId="2311"/>
    <cellStyle name="20% - Accent6 2 2 3 2" xfId="3164"/>
    <cellStyle name="20% - Accent6 2 2 3 2 2" xfId="6299"/>
    <cellStyle name="20% - Accent6 2 2 3 2 2 2" xfId="12541"/>
    <cellStyle name="20% - Accent6 2 2 3 2 2 3" xfId="18696"/>
    <cellStyle name="20% - Accent6 2 2 3 2 2 4" xfId="24823"/>
    <cellStyle name="20% - Accent6 2 2 3 2 3" xfId="9453"/>
    <cellStyle name="20% - Accent6 2 2 3 2 4" xfId="15619"/>
    <cellStyle name="20% - Accent6 2 2 3 2 5" xfId="21747"/>
    <cellStyle name="20% - Accent6 2 2 3 3" xfId="3163"/>
    <cellStyle name="20% - Accent6 2 2 3 3 2" xfId="6298"/>
    <cellStyle name="20% - Accent6 2 2 3 3 2 2" xfId="12540"/>
    <cellStyle name="20% - Accent6 2 2 3 3 2 3" xfId="18695"/>
    <cellStyle name="20% - Accent6 2 2 3 3 2 4" xfId="24822"/>
    <cellStyle name="20% - Accent6 2 2 3 3 3" xfId="9452"/>
    <cellStyle name="20% - Accent6 2 2 3 3 4" xfId="15618"/>
    <cellStyle name="20% - Accent6 2 2 3 3 5" xfId="21746"/>
    <cellStyle name="20% - Accent6 2 2 3 4" xfId="5624"/>
    <cellStyle name="20% - Accent6 2 2 3 4 2" xfId="11866"/>
    <cellStyle name="20% - Accent6 2 2 3 4 3" xfId="18021"/>
    <cellStyle name="20% - Accent6 2 2 3 4 4" xfId="24148"/>
    <cellStyle name="20% - Accent6 2 2 3 5" xfId="8778"/>
    <cellStyle name="20% - Accent6 2 2 3 6" xfId="14399"/>
    <cellStyle name="20% - Accent6 2 2 3 7" xfId="20958"/>
    <cellStyle name="20% - Accent6 2 2 4" xfId="2144"/>
    <cellStyle name="20% - Accent6 2 2 4 2" xfId="3166"/>
    <cellStyle name="20% - Accent6 2 2 4 2 2" xfId="6301"/>
    <cellStyle name="20% - Accent6 2 2 4 2 2 2" xfId="12543"/>
    <cellStyle name="20% - Accent6 2 2 4 2 2 3" xfId="18698"/>
    <cellStyle name="20% - Accent6 2 2 4 2 2 4" xfId="24825"/>
    <cellStyle name="20% - Accent6 2 2 4 2 3" xfId="9455"/>
    <cellStyle name="20% - Accent6 2 2 4 2 4" xfId="15621"/>
    <cellStyle name="20% - Accent6 2 2 4 2 5" xfId="21749"/>
    <cellStyle name="20% - Accent6 2 2 4 3" xfId="3165"/>
    <cellStyle name="20% - Accent6 2 2 4 3 2" xfId="6300"/>
    <cellStyle name="20% - Accent6 2 2 4 3 2 2" xfId="12542"/>
    <cellStyle name="20% - Accent6 2 2 4 3 2 3" xfId="18697"/>
    <cellStyle name="20% - Accent6 2 2 4 3 2 4" xfId="24824"/>
    <cellStyle name="20% - Accent6 2 2 4 3 3" xfId="9454"/>
    <cellStyle name="20% - Accent6 2 2 4 3 4" xfId="15620"/>
    <cellStyle name="20% - Accent6 2 2 4 3 5" xfId="21748"/>
    <cellStyle name="20% - Accent6 2 2 4 4" xfId="5457"/>
    <cellStyle name="20% - Accent6 2 2 4 4 2" xfId="11699"/>
    <cellStyle name="20% - Accent6 2 2 4 4 3" xfId="17854"/>
    <cellStyle name="20% - Accent6 2 2 4 4 4" xfId="23981"/>
    <cellStyle name="20% - Accent6 2 2 4 5" xfId="8611"/>
    <cellStyle name="20% - Accent6 2 2 4 6" xfId="14400"/>
    <cellStyle name="20% - Accent6 2 2 4 7" xfId="20791"/>
    <cellStyle name="20% - Accent6 2 2 5" xfId="781"/>
    <cellStyle name="20% - Accent6 2 2 5 2" xfId="3168"/>
    <cellStyle name="20% - Accent6 2 2 5 2 2" xfId="6303"/>
    <cellStyle name="20% - Accent6 2 2 5 2 2 2" xfId="12545"/>
    <cellStyle name="20% - Accent6 2 2 5 2 2 3" xfId="18700"/>
    <cellStyle name="20% - Accent6 2 2 5 2 2 4" xfId="24827"/>
    <cellStyle name="20% - Accent6 2 2 5 2 3" xfId="9457"/>
    <cellStyle name="20% - Accent6 2 2 5 2 4" xfId="15623"/>
    <cellStyle name="20% - Accent6 2 2 5 2 5" xfId="21751"/>
    <cellStyle name="20% - Accent6 2 2 5 3" xfId="3167"/>
    <cellStyle name="20% - Accent6 2 2 5 3 2" xfId="6302"/>
    <cellStyle name="20% - Accent6 2 2 5 3 2 2" xfId="12544"/>
    <cellStyle name="20% - Accent6 2 2 5 3 2 3" xfId="18699"/>
    <cellStyle name="20% - Accent6 2 2 5 3 2 4" xfId="24826"/>
    <cellStyle name="20% - Accent6 2 2 5 3 3" xfId="9456"/>
    <cellStyle name="20% - Accent6 2 2 5 3 4" xfId="15622"/>
    <cellStyle name="20% - Accent6 2 2 5 3 5" xfId="21750"/>
    <cellStyle name="20% - Accent6 2 2 5 4" xfId="5130"/>
    <cellStyle name="20% - Accent6 2 2 5 4 2" xfId="11373"/>
    <cellStyle name="20% - Accent6 2 2 5 4 3" xfId="17528"/>
    <cellStyle name="20% - Accent6 2 2 5 4 4" xfId="23655"/>
    <cellStyle name="20% - Accent6 2 2 5 5" xfId="8287"/>
    <cellStyle name="20% - Accent6 2 2 5 6" xfId="14401"/>
    <cellStyle name="20% - Accent6 2 2 5 7" xfId="20470"/>
    <cellStyle name="20% - Accent6 2 2 6" xfId="228"/>
    <cellStyle name="20% - Accent6 2 2 6 2" xfId="3170"/>
    <cellStyle name="20% - Accent6 2 2 6 2 2" xfId="6305"/>
    <cellStyle name="20% - Accent6 2 2 6 2 2 2" xfId="12547"/>
    <cellStyle name="20% - Accent6 2 2 6 2 2 3" xfId="18702"/>
    <cellStyle name="20% - Accent6 2 2 6 2 2 4" xfId="24829"/>
    <cellStyle name="20% - Accent6 2 2 6 2 3" xfId="9459"/>
    <cellStyle name="20% - Accent6 2 2 6 2 4" xfId="15625"/>
    <cellStyle name="20% - Accent6 2 2 6 2 5" xfId="21753"/>
    <cellStyle name="20% - Accent6 2 2 6 3" xfId="3169"/>
    <cellStyle name="20% - Accent6 2 2 6 3 2" xfId="6304"/>
    <cellStyle name="20% - Accent6 2 2 6 3 2 2" xfId="12546"/>
    <cellStyle name="20% - Accent6 2 2 6 3 2 3" xfId="18701"/>
    <cellStyle name="20% - Accent6 2 2 6 3 2 4" xfId="24828"/>
    <cellStyle name="20% - Accent6 2 2 6 3 3" xfId="9458"/>
    <cellStyle name="20% - Accent6 2 2 6 3 4" xfId="15624"/>
    <cellStyle name="20% - Accent6 2 2 6 3 5" xfId="21752"/>
    <cellStyle name="20% - Accent6 2 2 6 4" xfId="5008"/>
    <cellStyle name="20% - Accent6 2 2 6 4 2" xfId="11251"/>
    <cellStyle name="20% - Accent6 2 2 6 4 3" xfId="17406"/>
    <cellStyle name="20% - Accent6 2 2 6 4 4" xfId="23533"/>
    <cellStyle name="20% - Accent6 2 2 6 5" xfId="8166"/>
    <cellStyle name="20% - Accent6 2 2 6 6" xfId="14402"/>
    <cellStyle name="20% - Accent6 2 2 6 7" xfId="21162"/>
    <cellStyle name="20% - Accent6 2 2 7" xfId="3171"/>
    <cellStyle name="20% - Accent6 2 2 7 2" xfId="6306"/>
    <cellStyle name="20% - Accent6 2 2 7 2 2" xfId="12548"/>
    <cellStyle name="20% - Accent6 2 2 7 2 3" xfId="18703"/>
    <cellStyle name="20% - Accent6 2 2 7 2 4" xfId="24830"/>
    <cellStyle name="20% - Accent6 2 2 7 3" xfId="9460"/>
    <cellStyle name="20% - Accent6 2 2 7 4" xfId="15626"/>
    <cellStyle name="20% - Accent6 2 2 7 5" xfId="21754"/>
    <cellStyle name="20% - Accent6 2 2 8" xfId="3172"/>
    <cellStyle name="20% - Accent6 2 2 8 2" xfId="6307"/>
    <cellStyle name="20% - Accent6 2 2 8 2 2" xfId="12549"/>
    <cellStyle name="20% - Accent6 2 2 8 2 3" xfId="18704"/>
    <cellStyle name="20% - Accent6 2 2 8 2 4" xfId="24831"/>
    <cellStyle name="20% - Accent6 2 2 8 3" xfId="9461"/>
    <cellStyle name="20% - Accent6 2 2 8 4" xfId="15627"/>
    <cellStyle name="20% - Accent6 2 2 8 5" xfId="21755"/>
    <cellStyle name="20% - Accent6 2 2 9" xfId="3155"/>
    <cellStyle name="20% - Accent6 2 2 9 2" xfId="6290"/>
    <cellStyle name="20% - Accent6 2 2 9 2 2" xfId="12532"/>
    <cellStyle name="20% - Accent6 2 2 9 2 3" xfId="18687"/>
    <cellStyle name="20% - Accent6 2 2 9 2 4" xfId="24814"/>
    <cellStyle name="20% - Accent6 2 2 9 3" xfId="9444"/>
    <cellStyle name="20% - Accent6 2 2 9 4" xfId="15610"/>
    <cellStyle name="20% - Accent6 2 2 9 5" xfId="21738"/>
    <cellStyle name="20% - Accent6 2 3" xfId="951"/>
    <cellStyle name="20% - Accent6 2 3 2" xfId="2393"/>
    <cellStyle name="20% - Accent6 2 3 2 2" xfId="3174"/>
    <cellStyle name="20% - Accent6 2 3 2 2 2" xfId="6309"/>
    <cellStyle name="20% - Accent6 2 3 2 2 2 2" xfId="12551"/>
    <cellStyle name="20% - Accent6 2 3 2 2 2 3" xfId="18706"/>
    <cellStyle name="20% - Accent6 2 3 2 2 2 4" xfId="24833"/>
    <cellStyle name="20% - Accent6 2 3 2 2 3" xfId="9463"/>
    <cellStyle name="20% - Accent6 2 3 2 2 4" xfId="15629"/>
    <cellStyle name="20% - Accent6 2 3 2 2 5" xfId="21757"/>
    <cellStyle name="20% - Accent6 2 3 2 3" xfId="3173"/>
    <cellStyle name="20% - Accent6 2 3 2 3 2" xfId="6308"/>
    <cellStyle name="20% - Accent6 2 3 2 3 2 2" xfId="12550"/>
    <cellStyle name="20% - Accent6 2 3 2 3 2 3" xfId="18705"/>
    <cellStyle name="20% - Accent6 2 3 2 3 2 4" xfId="24832"/>
    <cellStyle name="20% - Accent6 2 3 2 3 3" xfId="9462"/>
    <cellStyle name="20% - Accent6 2 3 2 3 4" xfId="15628"/>
    <cellStyle name="20% - Accent6 2 3 2 3 5" xfId="21756"/>
    <cellStyle name="20% - Accent6 2 3 2 4" xfId="5706"/>
    <cellStyle name="20% - Accent6 2 3 2 4 2" xfId="11948"/>
    <cellStyle name="20% - Accent6 2 3 2 4 3" xfId="18103"/>
    <cellStyle name="20% - Accent6 2 3 2 4 4" xfId="24230"/>
    <cellStyle name="20% - Accent6 2 3 2 5" xfId="8860"/>
    <cellStyle name="20% - Accent6 2 3 2 6" xfId="14403"/>
    <cellStyle name="20% - Accent6 2 3 2 7" xfId="21040"/>
    <cellStyle name="20% - Accent6 2 3 3" xfId="2218"/>
    <cellStyle name="20% - Accent6 2 3 3 2" xfId="3176"/>
    <cellStyle name="20% - Accent6 2 3 3 2 2" xfId="6311"/>
    <cellStyle name="20% - Accent6 2 3 3 2 2 2" xfId="12553"/>
    <cellStyle name="20% - Accent6 2 3 3 2 2 3" xfId="18708"/>
    <cellStyle name="20% - Accent6 2 3 3 2 2 4" xfId="24835"/>
    <cellStyle name="20% - Accent6 2 3 3 2 3" xfId="9465"/>
    <cellStyle name="20% - Accent6 2 3 3 2 4" xfId="15631"/>
    <cellStyle name="20% - Accent6 2 3 3 2 5" xfId="21759"/>
    <cellStyle name="20% - Accent6 2 3 3 3" xfId="3175"/>
    <cellStyle name="20% - Accent6 2 3 3 3 2" xfId="6310"/>
    <cellStyle name="20% - Accent6 2 3 3 3 2 2" xfId="12552"/>
    <cellStyle name="20% - Accent6 2 3 3 3 2 3" xfId="18707"/>
    <cellStyle name="20% - Accent6 2 3 3 3 2 4" xfId="24834"/>
    <cellStyle name="20% - Accent6 2 3 3 3 3" xfId="9464"/>
    <cellStyle name="20% - Accent6 2 3 3 3 4" xfId="15630"/>
    <cellStyle name="20% - Accent6 2 3 3 3 5" xfId="21758"/>
    <cellStyle name="20% - Accent6 2 3 3 4" xfId="5531"/>
    <cellStyle name="20% - Accent6 2 3 3 4 2" xfId="11773"/>
    <cellStyle name="20% - Accent6 2 3 3 4 3" xfId="17928"/>
    <cellStyle name="20% - Accent6 2 3 3 4 4" xfId="24055"/>
    <cellStyle name="20% - Accent6 2 3 3 5" xfId="8685"/>
    <cellStyle name="20% - Accent6 2 3 3 6" xfId="14404"/>
    <cellStyle name="20% - Accent6 2 3 3 7" xfId="20865"/>
    <cellStyle name="20% - Accent6 2 3 4" xfId="2007"/>
    <cellStyle name="20% - Accent6 2 3 4 2" xfId="3178"/>
    <cellStyle name="20% - Accent6 2 3 4 2 2" xfId="6313"/>
    <cellStyle name="20% - Accent6 2 3 4 2 2 2" xfId="12555"/>
    <cellStyle name="20% - Accent6 2 3 4 2 2 3" xfId="18710"/>
    <cellStyle name="20% - Accent6 2 3 4 2 2 4" xfId="24837"/>
    <cellStyle name="20% - Accent6 2 3 4 2 3" xfId="9467"/>
    <cellStyle name="20% - Accent6 2 3 4 2 4" xfId="15633"/>
    <cellStyle name="20% - Accent6 2 3 4 2 5" xfId="21761"/>
    <cellStyle name="20% - Accent6 2 3 4 3" xfId="3177"/>
    <cellStyle name="20% - Accent6 2 3 4 3 2" xfId="6312"/>
    <cellStyle name="20% - Accent6 2 3 4 3 2 2" xfId="12554"/>
    <cellStyle name="20% - Accent6 2 3 4 3 2 3" xfId="18709"/>
    <cellStyle name="20% - Accent6 2 3 4 3 2 4" xfId="24836"/>
    <cellStyle name="20% - Accent6 2 3 4 3 3" xfId="9466"/>
    <cellStyle name="20% - Accent6 2 3 4 3 4" xfId="15632"/>
    <cellStyle name="20% - Accent6 2 3 4 3 5" xfId="21760"/>
    <cellStyle name="20% - Accent6 2 3 4 4" xfId="5349"/>
    <cellStyle name="20% - Accent6 2 3 4 4 2" xfId="11591"/>
    <cellStyle name="20% - Accent6 2 3 4 4 3" xfId="17746"/>
    <cellStyle name="20% - Accent6 2 3 4 4 4" xfId="23873"/>
    <cellStyle name="20% - Accent6 2 3 4 5" xfId="8504"/>
    <cellStyle name="20% - Accent6 2 3 4 6" xfId="14405"/>
    <cellStyle name="20% - Accent6 2 3 4 7" xfId="20684"/>
    <cellStyle name="20% - Accent6 2 3 5" xfId="3179"/>
    <cellStyle name="20% - Accent6 2 3 6" xfId="3180"/>
    <cellStyle name="20% - Accent6 2 3 6 2" xfId="6314"/>
    <cellStyle name="20% - Accent6 2 3 6 2 2" xfId="12556"/>
    <cellStyle name="20% - Accent6 2 3 6 2 3" xfId="18711"/>
    <cellStyle name="20% - Accent6 2 3 6 2 4" xfId="24838"/>
    <cellStyle name="20% - Accent6 2 3 6 3" xfId="9469"/>
    <cellStyle name="20% - Accent6 2 3 6 4" xfId="15634"/>
    <cellStyle name="20% - Accent6 2 3 6 5" xfId="21762"/>
    <cellStyle name="20% - Accent6 2 4" xfId="2310"/>
    <cellStyle name="20% - Accent6 2 4 2" xfId="3182"/>
    <cellStyle name="20% - Accent6 2 4 2 2" xfId="6316"/>
    <cellStyle name="20% - Accent6 2 4 2 2 2" xfId="12558"/>
    <cellStyle name="20% - Accent6 2 4 2 2 3" xfId="18713"/>
    <cellStyle name="20% - Accent6 2 4 2 2 4" xfId="24840"/>
    <cellStyle name="20% - Accent6 2 4 2 3" xfId="9471"/>
    <cellStyle name="20% - Accent6 2 4 2 4" xfId="15636"/>
    <cellStyle name="20% - Accent6 2 4 2 5" xfId="21764"/>
    <cellStyle name="20% - Accent6 2 4 3" xfId="3181"/>
    <cellStyle name="20% - Accent6 2 4 3 2" xfId="6315"/>
    <cellStyle name="20% - Accent6 2 4 3 2 2" xfId="12557"/>
    <cellStyle name="20% - Accent6 2 4 3 2 3" xfId="18712"/>
    <cellStyle name="20% - Accent6 2 4 3 2 4" xfId="24839"/>
    <cellStyle name="20% - Accent6 2 4 3 3" xfId="9470"/>
    <cellStyle name="20% - Accent6 2 4 3 4" xfId="15635"/>
    <cellStyle name="20% - Accent6 2 4 3 5" xfId="21763"/>
    <cellStyle name="20% - Accent6 2 4 4" xfId="5623"/>
    <cellStyle name="20% - Accent6 2 4 4 2" xfId="11865"/>
    <cellStyle name="20% - Accent6 2 4 4 3" xfId="18020"/>
    <cellStyle name="20% - Accent6 2 4 4 4" xfId="24147"/>
    <cellStyle name="20% - Accent6 2 4 5" xfId="8777"/>
    <cellStyle name="20% - Accent6 2 4 6" xfId="14406"/>
    <cellStyle name="20% - Accent6 2 4 7" xfId="20957"/>
    <cellStyle name="20% - Accent6 2 5" xfId="2143"/>
    <cellStyle name="20% - Accent6 2 5 2" xfId="3184"/>
    <cellStyle name="20% - Accent6 2 5 2 2" xfId="6318"/>
    <cellStyle name="20% - Accent6 2 5 2 2 2" xfId="12560"/>
    <cellStyle name="20% - Accent6 2 5 2 2 3" xfId="18715"/>
    <cellStyle name="20% - Accent6 2 5 2 2 4" xfId="24842"/>
    <cellStyle name="20% - Accent6 2 5 2 3" xfId="9473"/>
    <cellStyle name="20% - Accent6 2 5 2 4" xfId="15638"/>
    <cellStyle name="20% - Accent6 2 5 2 5" xfId="21766"/>
    <cellStyle name="20% - Accent6 2 5 3" xfId="3183"/>
    <cellStyle name="20% - Accent6 2 5 3 2" xfId="6317"/>
    <cellStyle name="20% - Accent6 2 5 3 2 2" xfId="12559"/>
    <cellStyle name="20% - Accent6 2 5 3 2 3" xfId="18714"/>
    <cellStyle name="20% - Accent6 2 5 3 2 4" xfId="24841"/>
    <cellStyle name="20% - Accent6 2 5 3 3" xfId="9472"/>
    <cellStyle name="20% - Accent6 2 5 3 4" xfId="15637"/>
    <cellStyle name="20% - Accent6 2 5 3 5" xfId="21765"/>
    <cellStyle name="20% - Accent6 2 5 4" xfId="5456"/>
    <cellStyle name="20% - Accent6 2 5 4 2" xfId="11698"/>
    <cellStyle name="20% - Accent6 2 5 4 3" xfId="17853"/>
    <cellStyle name="20% - Accent6 2 5 4 4" xfId="23980"/>
    <cellStyle name="20% - Accent6 2 5 5" xfId="8610"/>
    <cellStyle name="20% - Accent6 2 5 6" xfId="14407"/>
    <cellStyle name="20% - Accent6 2 5 7" xfId="20790"/>
    <cellStyle name="20% - Accent6 2 6" xfId="780"/>
    <cellStyle name="20% - Accent6 2 6 2" xfId="3186"/>
    <cellStyle name="20% - Accent6 2 6 2 2" xfId="6320"/>
    <cellStyle name="20% - Accent6 2 6 2 2 2" xfId="12562"/>
    <cellStyle name="20% - Accent6 2 6 2 2 3" xfId="18717"/>
    <cellStyle name="20% - Accent6 2 6 2 2 4" xfId="24844"/>
    <cellStyle name="20% - Accent6 2 6 2 3" xfId="9475"/>
    <cellStyle name="20% - Accent6 2 6 2 4" xfId="15640"/>
    <cellStyle name="20% - Accent6 2 6 2 5" xfId="21768"/>
    <cellStyle name="20% - Accent6 2 6 3" xfId="3185"/>
    <cellStyle name="20% - Accent6 2 6 3 2" xfId="6319"/>
    <cellStyle name="20% - Accent6 2 6 3 2 2" xfId="12561"/>
    <cellStyle name="20% - Accent6 2 6 3 2 3" xfId="18716"/>
    <cellStyle name="20% - Accent6 2 6 3 2 4" xfId="24843"/>
    <cellStyle name="20% - Accent6 2 6 3 3" xfId="9474"/>
    <cellStyle name="20% - Accent6 2 6 3 4" xfId="15639"/>
    <cellStyle name="20% - Accent6 2 6 3 5" xfId="21767"/>
    <cellStyle name="20% - Accent6 2 6 4" xfId="5129"/>
    <cellStyle name="20% - Accent6 2 6 4 2" xfId="11372"/>
    <cellStyle name="20% - Accent6 2 6 4 3" xfId="17527"/>
    <cellStyle name="20% - Accent6 2 6 4 4" xfId="23654"/>
    <cellStyle name="20% - Accent6 2 6 5" xfId="8286"/>
    <cellStyle name="20% - Accent6 2 6 6" xfId="14408"/>
    <cellStyle name="20% - Accent6 2 6 7" xfId="20469"/>
    <cellStyle name="20% - Accent6 2 7" xfId="227"/>
    <cellStyle name="20% - Accent6 2 7 2" xfId="3188"/>
    <cellStyle name="20% - Accent6 2 7 2 2" xfId="6322"/>
    <cellStyle name="20% - Accent6 2 7 2 2 2" xfId="12564"/>
    <cellStyle name="20% - Accent6 2 7 2 2 3" xfId="18719"/>
    <cellStyle name="20% - Accent6 2 7 2 2 4" xfId="24846"/>
    <cellStyle name="20% - Accent6 2 7 2 3" xfId="9477"/>
    <cellStyle name="20% - Accent6 2 7 2 4" xfId="15642"/>
    <cellStyle name="20% - Accent6 2 7 2 5" xfId="21770"/>
    <cellStyle name="20% - Accent6 2 7 3" xfId="3187"/>
    <cellStyle name="20% - Accent6 2 7 3 2" xfId="6321"/>
    <cellStyle name="20% - Accent6 2 7 3 2 2" xfId="12563"/>
    <cellStyle name="20% - Accent6 2 7 3 2 3" xfId="18718"/>
    <cellStyle name="20% - Accent6 2 7 3 2 4" xfId="24845"/>
    <cellStyle name="20% - Accent6 2 7 3 3" xfId="9476"/>
    <cellStyle name="20% - Accent6 2 7 3 4" xfId="15641"/>
    <cellStyle name="20% - Accent6 2 7 3 5" xfId="21769"/>
    <cellStyle name="20% - Accent6 2 7 4" xfId="5007"/>
    <cellStyle name="20% - Accent6 2 7 4 2" xfId="11250"/>
    <cellStyle name="20% - Accent6 2 7 4 3" xfId="17405"/>
    <cellStyle name="20% - Accent6 2 7 4 4" xfId="23532"/>
    <cellStyle name="20% - Accent6 2 7 5" xfId="8165"/>
    <cellStyle name="20% - Accent6 2 7 6" xfId="14409"/>
    <cellStyle name="20% - Accent6 2 7 7" xfId="21161"/>
    <cellStyle name="20% - Accent6 2 8" xfId="3189"/>
    <cellStyle name="20% - Accent6 2 8 2" xfId="6323"/>
    <cellStyle name="20% - Accent6 2 8 2 2" xfId="12565"/>
    <cellStyle name="20% - Accent6 2 8 2 3" xfId="18720"/>
    <cellStyle name="20% - Accent6 2 8 2 4" xfId="24847"/>
    <cellStyle name="20% - Accent6 2 8 3" xfId="9478"/>
    <cellStyle name="20% - Accent6 2 8 4" xfId="15643"/>
    <cellStyle name="20% - Accent6 2 8 5" xfId="21771"/>
    <cellStyle name="20% - Accent6 2 9" xfId="3190"/>
    <cellStyle name="20% - Accent6 2 9 2" xfId="6324"/>
    <cellStyle name="20% - Accent6 2 9 2 2" xfId="12566"/>
    <cellStyle name="20% - Accent6 2 9 2 3" xfId="18721"/>
    <cellStyle name="20% - Accent6 2 9 2 4" xfId="24848"/>
    <cellStyle name="20% - Accent6 2 9 3" xfId="9479"/>
    <cellStyle name="20% - Accent6 2 9 4" xfId="15644"/>
    <cellStyle name="20% - Accent6 2 9 5" xfId="21772"/>
    <cellStyle name="20% - Accent6 3" xfId="64"/>
    <cellStyle name="20% - Accent6 3 10" xfId="3191"/>
    <cellStyle name="20% - Accent6 3 10 2" xfId="6325"/>
    <cellStyle name="20% - Accent6 3 10 2 2" xfId="12567"/>
    <cellStyle name="20% - Accent6 3 10 2 3" xfId="18722"/>
    <cellStyle name="20% - Accent6 3 10 2 4" xfId="24849"/>
    <cellStyle name="20% - Accent6 3 10 3" xfId="9480"/>
    <cellStyle name="20% - Accent6 3 10 4" xfId="15645"/>
    <cellStyle name="20% - Accent6 3 10 5" xfId="21773"/>
    <cellStyle name="20% - Accent6 3 11" xfId="4917"/>
    <cellStyle name="20% - Accent6 3 11 2" xfId="11161"/>
    <cellStyle name="20% - Accent6 3 11 3" xfId="17316"/>
    <cellStyle name="20% - Accent6 3 11 4" xfId="23443"/>
    <cellStyle name="20% - Accent6 3 12" xfId="8075"/>
    <cellStyle name="20% - Accent6 3 13" xfId="14410"/>
    <cellStyle name="20% - Accent6 3 14" xfId="20355"/>
    <cellStyle name="20% - Accent6 3 2" xfId="65"/>
    <cellStyle name="20% - Accent6 3 2 10" xfId="4918"/>
    <cellStyle name="20% - Accent6 3 2 10 2" xfId="11162"/>
    <cellStyle name="20% - Accent6 3 2 10 3" xfId="17317"/>
    <cellStyle name="20% - Accent6 3 2 10 4" xfId="23444"/>
    <cellStyle name="20% - Accent6 3 2 11" xfId="8076"/>
    <cellStyle name="20% - Accent6 3 2 12" xfId="14411"/>
    <cellStyle name="20% - Accent6 3 2 13" xfId="20356"/>
    <cellStyle name="20% - Accent6 3 2 2" xfId="2010"/>
    <cellStyle name="20% - Accent6 3 2 2 10" xfId="20687"/>
    <cellStyle name="20% - Accent6 3 2 2 2" xfId="2396"/>
    <cellStyle name="20% - Accent6 3 2 2 2 2" xfId="3195"/>
    <cellStyle name="20% - Accent6 3 2 2 2 2 2" xfId="6329"/>
    <cellStyle name="20% - Accent6 3 2 2 2 2 2 2" xfId="12571"/>
    <cellStyle name="20% - Accent6 3 2 2 2 2 2 3" xfId="18726"/>
    <cellStyle name="20% - Accent6 3 2 2 2 2 2 4" xfId="24853"/>
    <cellStyle name="20% - Accent6 3 2 2 2 2 3" xfId="9484"/>
    <cellStyle name="20% - Accent6 3 2 2 2 2 4" xfId="15649"/>
    <cellStyle name="20% - Accent6 3 2 2 2 2 5" xfId="21777"/>
    <cellStyle name="20% - Accent6 3 2 2 2 3" xfId="3194"/>
    <cellStyle name="20% - Accent6 3 2 2 2 3 2" xfId="6328"/>
    <cellStyle name="20% - Accent6 3 2 2 2 3 2 2" xfId="12570"/>
    <cellStyle name="20% - Accent6 3 2 2 2 3 2 3" xfId="18725"/>
    <cellStyle name="20% - Accent6 3 2 2 2 3 2 4" xfId="24852"/>
    <cellStyle name="20% - Accent6 3 2 2 2 3 3" xfId="9483"/>
    <cellStyle name="20% - Accent6 3 2 2 2 3 4" xfId="15648"/>
    <cellStyle name="20% - Accent6 3 2 2 2 3 5" xfId="21776"/>
    <cellStyle name="20% - Accent6 3 2 2 2 4" xfId="5709"/>
    <cellStyle name="20% - Accent6 3 2 2 2 4 2" xfId="11951"/>
    <cellStyle name="20% - Accent6 3 2 2 2 4 3" xfId="18106"/>
    <cellStyle name="20% - Accent6 3 2 2 2 4 4" xfId="24233"/>
    <cellStyle name="20% - Accent6 3 2 2 2 5" xfId="8863"/>
    <cellStyle name="20% - Accent6 3 2 2 2 6" xfId="14413"/>
    <cellStyle name="20% - Accent6 3 2 2 2 7" xfId="21043"/>
    <cellStyle name="20% - Accent6 3 2 2 3" xfId="2221"/>
    <cellStyle name="20% - Accent6 3 2 2 3 2" xfId="3197"/>
    <cellStyle name="20% - Accent6 3 2 2 3 2 2" xfId="6331"/>
    <cellStyle name="20% - Accent6 3 2 2 3 2 2 2" xfId="12573"/>
    <cellStyle name="20% - Accent6 3 2 2 3 2 2 3" xfId="18728"/>
    <cellStyle name="20% - Accent6 3 2 2 3 2 2 4" xfId="24855"/>
    <cellStyle name="20% - Accent6 3 2 2 3 2 3" xfId="9486"/>
    <cellStyle name="20% - Accent6 3 2 2 3 2 4" xfId="15651"/>
    <cellStyle name="20% - Accent6 3 2 2 3 2 5" xfId="21779"/>
    <cellStyle name="20% - Accent6 3 2 2 3 3" xfId="3196"/>
    <cellStyle name="20% - Accent6 3 2 2 3 3 2" xfId="6330"/>
    <cellStyle name="20% - Accent6 3 2 2 3 3 2 2" xfId="12572"/>
    <cellStyle name="20% - Accent6 3 2 2 3 3 2 3" xfId="18727"/>
    <cellStyle name="20% - Accent6 3 2 2 3 3 2 4" xfId="24854"/>
    <cellStyle name="20% - Accent6 3 2 2 3 3 3" xfId="9485"/>
    <cellStyle name="20% - Accent6 3 2 2 3 3 4" xfId="15650"/>
    <cellStyle name="20% - Accent6 3 2 2 3 3 5" xfId="21778"/>
    <cellStyle name="20% - Accent6 3 2 2 3 4" xfId="5534"/>
    <cellStyle name="20% - Accent6 3 2 2 3 4 2" xfId="11776"/>
    <cellStyle name="20% - Accent6 3 2 2 3 4 3" xfId="17931"/>
    <cellStyle name="20% - Accent6 3 2 2 3 4 4" xfId="24058"/>
    <cellStyle name="20% - Accent6 3 2 2 3 5" xfId="8688"/>
    <cellStyle name="20% - Accent6 3 2 2 3 6" xfId="14414"/>
    <cellStyle name="20% - Accent6 3 2 2 3 7" xfId="20868"/>
    <cellStyle name="20% - Accent6 3 2 2 4" xfId="3198"/>
    <cellStyle name="20% - Accent6 3 2 2 4 2" xfId="6332"/>
    <cellStyle name="20% - Accent6 3 2 2 4 2 2" xfId="12574"/>
    <cellStyle name="20% - Accent6 3 2 2 4 2 3" xfId="18729"/>
    <cellStyle name="20% - Accent6 3 2 2 4 2 4" xfId="24856"/>
    <cellStyle name="20% - Accent6 3 2 2 4 3" xfId="9487"/>
    <cellStyle name="20% - Accent6 3 2 2 4 4" xfId="15652"/>
    <cellStyle name="20% - Accent6 3 2 2 4 5" xfId="21780"/>
    <cellStyle name="20% - Accent6 3 2 2 5" xfId="3199"/>
    <cellStyle name="20% - Accent6 3 2 2 5 2" xfId="6333"/>
    <cellStyle name="20% - Accent6 3 2 2 5 2 2" xfId="12575"/>
    <cellStyle name="20% - Accent6 3 2 2 5 2 3" xfId="18730"/>
    <cellStyle name="20% - Accent6 3 2 2 5 2 4" xfId="24857"/>
    <cellStyle name="20% - Accent6 3 2 2 5 3" xfId="9488"/>
    <cellStyle name="20% - Accent6 3 2 2 5 4" xfId="15653"/>
    <cellStyle name="20% - Accent6 3 2 2 5 5" xfId="21781"/>
    <cellStyle name="20% - Accent6 3 2 2 6" xfId="3193"/>
    <cellStyle name="20% - Accent6 3 2 2 6 2" xfId="6327"/>
    <cellStyle name="20% - Accent6 3 2 2 6 2 2" xfId="12569"/>
    <cellStyle name="20% - Accent6 3 2 2 6 2 3" xfId="18724"/>
    <cellStyle name="20% - Accent6 3 2 2 6 2 4" xfId="24851"/>
    <cellStyle name="20% - Accent6 3 2 2 6 3" xfId="9482"/>
    <cellStyle name="20% - Accent6 3 2 2 6 4" xfId="15647"/>
    <cellStyle name="20% - Accent6 3 2 2 6 5" xfId="21775"/>
    <cellStyle name="20% - Accent6 3 2 2 7" xfId="5352"/>
    <cellStyle name="20% - Accent6 3 2 2 7 2" xfId="11594"/>
    <cellStyle name="20% - Accent6 3 2 2 7 3" xfId="17749"/>
    <cellStyle name="20% - Accent6 3 2 2 7 4" xfId="23876"/>
    <cellStyle name="20% - Accent6 3 2 2 8" xfId="8507"/>
    <cellStyle name="20% - Accent6 3 2 2 9" xfId="14412"/>
    <cellStyle name="20% - Accent6 3 2 3" xfId="2313"/>
    <cellStyle name="20% - Accent6 3 2 3 2" xfId="3201"/>
    <cellStyle name="20% - Accent6 3 2 3 2 2" xfId="6335"/>
    <cellStyle name="20% - Accent6 3 2 3 2 2 2" xfId="12577"/>
    <cellStyle name="20% - Accent6 3 2 3 2 2 3" xfId="18732"/>
    <cellStyle name="20% - Accent6 3 2 3 2 2 4" xfId="24859"/>
    <cellStyle name="20% - Accent6 3 2 3 2 3" xfId="9490"/>
    <cellStyle name="20% - Accent6 3 2 3 2 4" xfId="15655"/>
    <cellStyle name="20% - Accent6 3 2 3 2 5" xfId="21783"/>
    <cellStyle name="20% - Accent6 3 2 3 3" xfId="3200"/>
    <cellStyle name="20% - Accent6 3 2 3 3 2" xfId="6334"/>
    <cellStyle name="20% - Accent6 3 2 3 3 2 2" xfId="12576"/>
    <cellStyle name="20% - Accent6 3 2 3 3 2 3" xfId="18731"/>
    <cellStyle name="20% - Accent6 3 2 3 3 2 4" xfId="24858"/>
    <cellStyle name="20% - Accent6 3 2 3 3 3" xfId="9489"/>
    <cellStyle name="20% - Accent6 3 2 3 3 4" xfId="15654"/>
    <cellStyle name="20% - Accent6 3 2 3 3 5" xfId="21782"/>
    <cellStyle name="20% - Accent6 3 2 3 4" xfId="5626"/>
    <cellStyle name="20% - Accent6 3 2 3 4 2" xfId="11868"/>
    <cellStyle name="20% - Accent6 3 2 3 4 3" xfId="18023"/>
    <cellStyle name="20% - Accent6 3 2 3 4 4" xfId="24150"/>
    <cellStyle name="20% - Accent6 3 2 3 5" xfId="8780"/>
    <cellStyle name="20% - Accent6 3 2 3 6" xfId="14415"/>
    <cellStyle name="20% - Accent6 3 2 3 7" xfId="20960"/>
    <cellStyle name="20% - Accent6 3 2 4" xfId="2146"/>
    <cellStyle name="20% - Accent6 3 2 4 2" xfId="3203"/>
    <cellStyle name="20% - Accent6 3 2 4 2 2" xfId="6337"/>
    <cellStyle name="20% - Accent6 3 2 4 2 2 2" xfId="12579"/>
    <cellStyle name="20% - Accent6 3 2 4 2 2 3" xfId="18734"/>
    <cellStyle name="20% - Accent6 3 2 4 2 2 4" xfId="24861"/>
    <cellStyle name="20% - Accent6 3 2 4 2 3" xfId="9492"/>
    <cellStyle name="20% - Accent6 3 2 4 2 4" xfId="15657"/>
    <cellStyle name="20% - Accent6 3 2 4 2 5" xfId="21785"/>
    <cellStyle name="20% - Accent6 3 2 4 3" xfId="3202"/>
    <cellStyle name="20% - Accent6 3 2 4 3 2" xfId="6336"/>
    <cellStyle name="20% - Accent6 3 2 4 3 2 2" xfId="12578"/>
    <cellStyle name="20% - Accent6 3 2 4 3 2 3" xfId="18733"/>
    <cellStyle name="20% - Accent6 3 2 4 3 2 4" xfId="24860"/>
    <cellStyle name="20% - Accent6 3 2 4 3 3" xfId="9491"/>
    <cellStyle name="20% - Accent6 3 2 4 3 4" xfId="15656"/>
    <cellStyle name="20% - Accent6 3 2 4 3 5" xfId="21784"/>
    <cellStyle name="20% - Accent6 3 2 4 4" xfId="5459"/>
    <cellStyle name="20% - Accent6 3 2 4 4 2" xfId="11701"/>
    <cellStyle name="20% - Accent6 3 2 4 4 3" xfId="17856"/>
    <cellStyle name="20% - Accent6 3 2 4 4 4" xfId="23983"/>
    <cellStyle name="20% - Accent6 3 2 4 5" xfId="8613"/>
    <cellStyle name="20% - Accent6 3 2 4 6" xfId="14416"/>
    <cellStyle name="20% - Accent6 3 2 4 7" xfId="20793"/>
    <cellStyle name="20% - Accent6 3 2 5" xfId="783"/>
    <cellStyle name="20% - Accent6 3 2 5 2" xfId="3205"/>
    <cellStyle name="20% - Accent6 3 2 5 2 2" xfId="6339"/>
    <cellStyle name="20% - Accent6 3 2 5 2 2 2" xfId="12581"/>
    <cellStyle name="20% - Accent6 3 2 5 2 2 3" xfId="18736"/>
    <cellStyle name="20% - Accent6 3 2 5 2 2 4" xfId="24863"/>
    <cellStyle name="20% - Accent6 3 2 5 2 3" xfId="9494"/>
    <cellStyle name="20% - Accent6 3 2 5 2 4" xfId="15659"/>
    <cellStyle name="20% - Accent6 3 2 5 2 5" xfId="21787"/>
    <cellStyle name="20% - Accent6 3 2 5 3" xfId="3204"/>
    <cellStyle name="20% - Accent6 3 2 5 3 2" xfId="6338"/>
    <cellStyle name="20% - Accent6 3 2 5 3 2 2" xfId="12580"/>
    <cellStyle name="20% - Accent6 3 2 5 3 2 3" xfId="18735"/>
    <cellStyle name="20% - Accent6 3 2 5 3 2 4" xfId="24862"/>
    <cellStyle name="20% - Accent6 3 2 5 3 3" xfId="9493"/>
    <cellStyle name="20% - Accent6 3 2 5 3 4" xfId="15658"/>
    <cellStyle name="20% - Accent6 3 2 5 3 5" xfId="21786"/>
    <cellStyle name="20% - Accent6 3 2 5 4" xfId="5132"/>
    <cellStyle name="20% - Accent6 3 2 5 4 2" xfId="11375"/>
    <cellStyle name="20% - Accent6 3 2 5 4 3" xfId="17530"/>
    <cellStyle name="20% - Accent6 3 2 5 4 4" xfId="23657"/>
    <cellStyle name="20% - Accent6 3 2 5 5" xfId="8289"/>
    <cellStyle name="20% - Accent6 3 2 5 6" xfId="14417"/>
    <cellStyle name="20% - Accent6 3 2 5 7" xfId="20472"/>
    <cellStyle name="20% - Accent6 3 2 6" xfId="230"/>
    <cellStyle name="20% - Accent6 3 2 6 2" xfId="3207"/>
    <cellStyle name="20% - Accent6 3 2 6 2 2" xfId="6341"/>
    <cellStyle name="20% - Accent6 3 2 6 2 2 2" xfId="12583"/>
    <cellStyle name="20% - Accent6 3 2 6 2 2 3" xfId="18738"/>
    <cellStyle name="20% - Accent6 3 2 6 2 2 4" xfId="24865"/>
    <cellStyle name="20% - Accent6 3 2 6 2 3" xfId="9496"/>
    <cellStyle name="20% - Accent6 3 2 6 2 4" xfId="15661"/>
    <cellStyle name="20% - Accent6 3 2 6 2 5" xfId="21789"/>
    <cellStyle name="20% - Accent6 3 2 6 3" xfId="3206"/>
    <cellStyle name="20% - Accent6 3 2 6 3 2" xfId="6340"/>
    <cellStyle name="20% - Accent6 3 2 6 3 2 2" xfId="12582"/>
    <cellStyle name="20% - Accent6 3 2 6 3 2 3" xfId="18737"/>
    <cellStyle name="20% - Accent6 3 2 6 3 2 4" xfId="24864"/>
    <cellStyle name="20% - Accent6 3 2 6 3 3" xfId="9495"/>
    <cellStyle name="20% - Accent6 3 2 6 3 4" xfId="15660"/>
    <cellStyle name="20% - Accent6 3 2 6 3 5" xfId="21788"/>
    <cellStyle name="20% - Accent6 3 2 6 4" xfId="5010"/>
    <cellStyle name="20% - Accent6 3 2 6 4 2" xfId="11253"/>
    <cellStyle name="20% - Accent6 3 2 6 4 3" xfId="17408"/>
    <cellStyle name="20% - Accent6 3 2 6 4 4" xfId="23535"/>
    <cellStyle name="20% - Accent6 3 2 6 5" xfId="8168"/>
    <cellStyle name="20% - Accent6 3 2 6 6" xfId="14418"/>
    <cellStyle name="20% - Accent6 3 2 6 7" xfId="21164"/>
    <cellStyle name="20% - Accent6 3 2 7" xfId="3208"/>
    <cellStyle name="20% - Accent6 3 2 7 2" xfId="6342"/>
    <cellStyle name="20% - Accent6 3 2 7 2 2" xfId="12584"/>
    <cellStyle name="20% - Accent6 3 2 7 2 3" xfId="18739"/>
    <cellStyle name="20% - Accent6 3 2 7 2 4" xfId="24866"/>
    <cellStyle name="20% - Accent6 3 2 7 3" xfId="9497"/>
    <cellStyle name="20% - Accent6 3 2 7 4" xfId="15662"/>
    <cellStyle name="20% - Accent6 3 2 7 5" xfId="21790"/>
    <cellStyle name="20% - Accent6 3 2 8" xfId="3209"/>
    <cellStyle name="20% - Accent6 3 2 8 2" xfId="6343"/>
    <cellStyle name="20% - Accent6 3 2 8 2 2" xfId="12585"/>
    <cellStyle name="20% - Accent6 3 2 8 2 3" xfId="18740"/>
    <cellStyle name="20% - Accent6 3 2 8 2 4" xfId="24867"/>
    <cellStyle name="20% - Accent6 3 2 8 3" xfId="9498"/>
    <cellStyle name="20% - Accent6 3 2 8 4" xfId="15663"/>
    <cellStyle name="20% - Accent6 3 2 8 5" xfId="21791"/>
    <cellStyle name="20% - Accent6 3 2 9" xfId="3192"/>
    <cellStyle name="20% - Accent6 3 2 9 2" xfId="6326"/>
    <cellStyle name="20% - Accent6 3 2 9 2 2" xfId="12568"/>
    <cellStyle name="20% - Accent6 3 2 9 2 3" xfId="18723"/>
    <cellStyle name="20% - Accent6 3 2 9 2 4" xfId="24850"/>
    <cellStyle name="20% - Accent6 3 2 9 3" xfId="9481"/>
    <cellStyle name="20% - Accent6 3 2 9 4" xfId="15646"/>
    <cellStyle name="20% - Accent6 3 2 9 5" xfId="21774"/>
    <cellStyle name="20% - Accent6 3 3" xfId="2009"/>
    <cellStyle name="20% - Accent6 3 3 10" xfId="20686"/>
    <cellStyle name="20% - Accent6 3 3 2" xfId="2395"/>
    <cellStyle name="20% - Accent6 3 3 2 2" xfId="3212"/>
    <cellStyle name="20% - Accent6 3 3 2 2 2" xfId="6346"/>
    <cellStyle name="20% - Accent6 3 3 2 2 2 2" xfId="12588"/>
    <cellStyle name="20% - Accent6 3 3 2 2 2 3" xfId="18743"/>
    <cellStyle name="20% - Accent6 3 3 2 2 2 4" xfId="24870"/>
    <cellStyle name="20% - Accent6 3 3 2 2 3" xfId="9501"/>
    <cellStyle name="20% - Accent6 3 3 2 2 4" xfId="15666"/>
    <cellStyle name="20% - Accent6 3 3 2 2 5" xfId="21794"/>
    <cellStyle name="20% - Accent6 3 3 2 3" xfId="3211"/>
    <cellStyle name="20% - Accent6 3 3 2 3 2" xfId="6345"/>
    <cellStyle name="20% - Accent6 3 3 2 3 2 2" xfId="12587"/>
    <cellStyle name="20% - Accent6 3 3 2 3 2 3" xfId="18742"/>
    <cellStyle name="20% - Accent6 3 3 2 3 2 4" xfId="24869"/>
    <cellStyle name="20% - Accent6 3 3 2 3 3" xfId="9500"/>
    <cellStyle name="20% - Accent6 3 3 2 3 4" xfId="15665"/>
    <cellStyle name="20% - Accent6 3 3 2 3 5" xfId="21793"/>
    <cellStyle name="20% - Accent6 3 3 2 4" xfId="5708"/>
    <cellStyle name="20% - Accent6 3 3 2 4 2" xfId="11950"/>
    <cellStyle name="20% - Accent6 3 3 2 4 3" xfId="18105"/>
    <cellStyle name="20% - Accent6 3 3 2 4 4" xfId="24232"/>
    <cellStyle name="20% - Accent6 3 3 2 5" xfId="8862"/>
    <cellStyle name="20% - Accent6 3 3 2 6" xfId="14420"/>
    <cellStyle name="20% - Accent6 3 3 2 7" xfId="21042"/>
    <cellStyle name="20% - Accent6 3 3 3" xfId="2220"/>
    <cellStyle name="20% - Accent6 3 3 3 2" xfId="3214"/>
    <cellStyle name="20% - Accent6 3 3 3 2 2" xfId="6348"/>
    <cellStyle name="20% - Accent6 3 3 3 2 2 2" xfId="12590"/>
    <cellStyle name="20% - Accent6 3 3 3 2 2 3" xfId="18745"/>
    <cellStyle name="20% - Accent6 3 3 3 2 2 4" xfId="24872"/>
    <cellStyle name="20% - Accent6 3 3 3 2 3" xfId="9503"/>
    <cellStyle name="20% - Accent6 3 3 3 2 4" xfId="15668"/>
    <cellStyle name="20% - Accent6 3 3 3 2 5" xfId="21796"/>
    <cellStyle name="20% - Accent6 3 3 3 3" xfId="3213"/>
    <cellStyle name="20% - Accent6 3 3 3 3 2" xfId="6347"/>
    <cellStyle name="20% - Accent6 3 3 3 3 2 2" xfId="12589"/>
    <cellStyle name="20% - Accent6 3 3 3 3 2 3" xfId="18744"/>
    <cellStyle name="20% - Accent6 3 3 3 3 2 4" xfId="24871"/>
    <cellStyle name="20% - Accent6 3 3 3 3 3" xfId="9502"/>
    <cellStyle name="20% - Accent6 3 3 3 3 4" xfId="15667"/>
    <cellStyle name="20% - Accent6 3 3 3 3 5" xfId="21795"/>
    <cellStyle name="20% - Accent6 3 3 3 4" xfId="5533"/>
    <cellStyle name="20% - Accent6 3 3 3 4 2" xfId="11775"/>
    <cellStyle name="20% - Accent6 3 3 3 4 3" xfId="17930"/>
    <cellStyle name="20% - Accent6 3 3 3 4 4" xfId="24057"/>
    <cellStyle name="20% - Accent6 3 3 3 5" xfId="8687"/>
    <cellStyle name="20% - Accent6 3 3 3 6" xfId="14421"/>
    <cellStyle name="20% - Accent6 3 3 3 7" xfId="20867"/>
    <cellStyle name="20% - Accent6 3 3 4" xfId="3215"/>
    <cellStyle name="20% - Accent6 3 3 4 2" xfId="6349"/>
    <cellStyle name="20% - Accent6 3 3 4 2 2" xfId="12591"/>
    <cellStyle name="20% - Accent6 3 3 4 2 3" xfId="18746"/>
    <cellStyle name="20% - Accent6 3 3 4 2 4" xfId="24873"/>
    <cellStyle name="20% - Accent6 3 3 4 3" xfId="9504"/>
    <cellStyle name="20% - Accent6 3 3 4 4" xfId="15669"/>
    <cellStyle name="20% - Accent6 3 3 4 5" xfId="21797"/>
    <cellStyle name="20% - Accent6 3 3 5" xfId="3216"/>
    <cellStyle name="20% - Accent6 3 3 5 2" xfId="6350"/>
    <cellStyle name="20% - Accent6 3 3 5 2 2" xfId="12592"/>
    <cellStyle name="20% - Accent6 3 3 5 2 3" xfId="18747"/>
    <cellStyle name="20% - Accent6 3 3 5 2 4" xfId="24874"/>
    <cellStyle name="20% - Accent6 3 3 5 3" xfId="9505"/>
    <cellStyle name="20% - Accent6 3 3 5 4" xfId="15670"/>
    <cellStyle name="20% - Accent6 3 3 5 5" xfId="21798"/>
    <cellStyle name="20% - Accent6 3 3 6" xfId="3210"/>
    <cellStyle name="20% - Accent6 3 3 6 2" xfId="6344"/>
    <cellStyle name="20% - Accent6 3 3 6 2 2" xfId="12586"/>
    <cellStyle name="20% - Accent6 3 3 6 2 3" xfId="18741"/>
    <cellStyle name="20% - Accent6 3 3 6 2 4" xfId="24868"/>
    <cellStyle name="20% - Accent6 3 3 6 3" xfId="9499"/>
    <cellStyle name="20% - Accent6 3 3 6 4" xfId="15664"/>
    <cellStyle name="20% - Accent6 3 3 6 5" xfId="21792"/>
    <cellStyle name="20% - Accent6 3 3 7" xfId="5351"/>
    <cellStyle name="20% - Accent6 3 3 7 2" xfId="11593"/>
    <cellStyle name="20% - Accent6 3 3 7 3" xfId="17748"/>
    <cellStyle name="20% - Accent6 3 3 7 4" xfId="23875"/>
    <cellStyle name="20% - Accent6 3 3 8" xfId="8506"/>
    <cellStyle name="20% - Accent6 3 3 9" xfId="14419"/>
    <cellStyle name="20% - Accent6 3 4" xfId="2312"/>
    <cellStyle name="20% - Accent6 3 4 2" xfId="3218"/>
    <cellStyle name="20% - Accent6 3 4 2 2" xfId="6352"/>
    <cellStyle name="20% - Accent6 3 4 2 2 2" xfId="12594"/>
    <cellStyle name="20% - Accent6 3 4 2 2 3" xfId="18749"/>
    <cellStyle name="20% - Accent6 3 4 2 2 4" xfId="24876"/>
    <cellStyle name="20% - Accent6 3 4 2 3" xfId="9507"/>
    <cellStyle name="20% - Accent6 3 4 2 4" xfId="15672"/>
    <cellStyle name="20% - Accent6 3 4 2 5" xfId="21800"/>
    <cellStyle name="20% - Accent6 3 4 3" xfId="3217"/>
    <cellStyle name="20% - Accent6 3 4 3 2" xfId="6351"/>
    <cellStyle name="20% - Accent6 3 4 3 2 2" xfId="12593"/>
    <cellStyle name="20% - Accent6 3 4 3 2 3" xfId="18748"/>
    <cellStyle name="20% - Accent6 3 4 3 2 4" xfId="24875"/>
    <cellStyle name="20% - Accent6 3 4 3 3" xfId="9506"/>
    <cellStyle name="20% - Accent6 3 4 3 4" xfId="15671"/>
    <cellStyle name="20% - Accent6 3 4 3 5" xfId="21799"/>
    <cellStyle name="20% - Accent6 3 4 4" xfId="5625"/>
    <cellStyle name="20% - Accent6 3 4 4 2" xfId="11867"/>
    <cellStyle name="20% - Accent6 3 4 4 3" xfId="18022"/>
    <cellStyle name="20% - Accent6 3 4 4 4" xfId="24149"/>
    <cellStyle name="20% - Accent6 3 4 5" xfId="8779"/>
    <cellStyle name="20% - Accent6 3 4 6" xfId="14422"/>
    <cellStyle name="20% - Accent6 3 4 7" xfId="20959"/>
    <cellStyle name="20% - Accent6 3 5" xfId="2145"/>
    <cellStyle name="20% - Accent6 3 5 2" xfId="3220"/>
    <cellStyle name="20% - Accent6 3 5 2 2" xfId="6354"/>
    <cellStyle name="20% - Accent6 3 5 2 2 2" xfId="12596"/>
    <cellStyle name="20% - Accent6 3 5 2 2 3" xfId="18751"/>
    <cellStyle name="20% - Accent6 3 5 2 2 4" xfId="24878"/>
    <cellStyle name="20% - Accent6 3 5 2 3" xfId="9509"/>
    <cellStyle name="20% - Accent6 3 5 2 4" xfId="15674"/>
    <cellStyle name="20% - Accent6 3 5 2 5" xfId="21802"/>
    <cellStyle name="20% - Accent6 3 5 3" xfId="3219"/>
    <cellStyle name="20% - Accent6 3 5 3 2" xfId="6353"/>
    <cellStyle name="20% - Accent6 3 5 3 2 2" xfId="12595"/>
    <cellStyle name="20% - Accent6 3 5 3 2 3" xfId="18750"/>
    <cellStyle name="20% - Accent6 3 5 3 2 4" xfId="24877"/>
    <cellStyle name="20% - Accent6 3 5 3 3" xfId="9508"/>
    <cellStyle name="20% - Accent6 3 5 3 4" xfId="15673"/>
    <cellStyle name="20% - Accent6 3 5 3 5" xfId="21801"/>
    <cellStyle name="20% - Accent6 3 5 4" xfId="5458"/>
    <cellStyle name="20% - Accent6 3 5 4 2" xfId="11700"/>
    <cellStyle name="20% - Accent6 3 5 4 3" xfId="17855"/>
    <cellStyle name="20% - Accent6 3 5 4 4" xfId="23982"/>
    <cellStyle name="20% - Accent6 3 5 5" xfId="8612"/>
    <cellStyle name="20% - Accent6 3 5 6" xfId="14423"/>
    <cellStyle name="20% - Accent6 3 5 7" xfId="20792"/>
    <cellStyle name="20% - Accent6 3 6" xfId="782"/>
    <cellStyle name="20% - Accent6 3 6 2" xfId="3222"/>
    <cellStyle name="20% - Accent6 3 6 2 2" xfId="6356"/>
    <cellStyle name="20% - Accent6 3 6 2 2 2" xfId="12598"/>
    <cellStyle name="20% - Accent6 3 6 2 2 3" xfId="18753"/>
    <cellStyle name="20% - Accent6 3 6 2 2 4" xfId="24880"/>
    <cellStyle name="20% - Accent6 3 6 2 3" xfId="9511"/>
    <cellStyle name="20% - Accent6 3 6 2 4" xfId="15676"/>
    <cellStyle name="20% - Accent6 3 6 2 5" xfId="21804"/>
    <cellStyle name="20% - Accent6 3 6 3" xfId="3221"/>
    <cellStyle name="20% - Accent6 3 6 3 2" xfId="6355"/>
    <cellStyle name="20% - Accent6 3 6 3 2 2" xfId="12597"/>
    <cellStyle name="20% - Accent6 3 6 3 2 3" xfId="18752"/>
    <cellStyle name="20% - Accent6 3 6 3 2 4" xfId="24879"/>
    <cellStyle name="20% - Accent6 3 6 3 3" xfId="9510"/>
    <cellStyle name="20% - Accent6 3 6 3 4" xfId="15675"/>
    <cellStyle name="20% - Accent6 3 6 3 5" xfId="21803"/>
    <cellStyle name="20% - Accent6 3 6 4" xfId="5131"/>
    <cellStyle name="20% - Accent6 3 6 4 2" xfId="11374"/>
    <cellStyle name="20% - Accent6 3 6 4 3" xfId="17529"/>
    <cellStyle name="20% - Accent6 3 6 4 4" xfId="23656"/>
    <cellStyle name="20% - Accent6 3 6 5" xfId="8288"/>
    <cellStyle name="20% - Accent6 3 6 6" xfId="14424"/>
    <cellStyle name="20% - Accent6 3 6 7" xfId="20471"/>
    <cellStyle name="20% - Accent6 3 7" xfId="229"/>
    <cellStyle name="20% - Accent6 3 7 2" xfId="3224"/>
    <cellStyle name="20% - Accent6 3 7 2 2" xfId="6358"/>
    <cellStyle name="20% - Accent6 3 7 2 2 2" xfId="12600"/>
    <cellStyle name="20% - Accent6 3 7 2 2 3" xfId="18755"/>
    <cellStyle name="20% - Accent6 3 7 2 2 4" xfId="24882"/>
    <cellStyle name="20% - Accent6 3 7 2 3" xfId="9513"/>
    <cellStyle name="20% - Accent6 3 7 2 4" xfId="15678"/>
    <cellStyle name="20% - Accent6 3 7 2 5" xfId="21806"/>
    <cellStyle name="20% - Accent6 3 7 3" xfId="3223"/>
    <cellStyle name="20% - Accent6 3 7 3 2" xfId="6357"/>
    <cellStyle name="20% - Accent6 3 7 3 2 2" xfId="12599"/>
    <cellStyle name="20% - Accent6 3 7 3 2 3" xfId="18754"/>
    <cellStyle name="20% - Accent6 3 7 3 2 4" xfId="24881"/>
    <cellStyle name="20% - Accent6 3 7 3 3" xfId="9512"/>
    <cellStyle name="20% - Accent6 3 7 3 4" xfId="15677"/>
    <cellStyle name="20% - Accent6 3 7 3 5" xfId="21805"/>
    <cellStyle name="20% - Accent6 3 7 4" xfId="5009"/>
    <cellStyle name="20% - Accent6 3 7 4 2" xfId="11252"/>
    <cellStyle name="20% - Accent6 3 7 4 3" xfId="17407"/>
    <cellStyle name="20% - Accent6 3 7 4 4" xfId="23534"/>
    <cellStyle name="20% - Accent6 3 7 5" xfId="8167"/>
    <cellStyle name="20% - Accent6 3 7 6" xfId="14425"/>
    <cellStyle name="20% - Accent6 3 7 7" xfId="21163"/>
    <cellStyle name="20% - Accent6 3 8" xfId="3225"/>
    <cellStyle name="20% - Accent6 3 8 2" xfId="6359"/>
    <cellStyle name="20% - Accent6 3 8 2 2" xfId="12601"/>
    <cellStyle name="20% - Accent6 3 8 2 3" xfId="18756"/>
    <cellStyle name="20% - Accent6 3 8 2 4" xfId="24883"/>
    <cellStyle name="20% - Accent6 3 8 3" xfId="9514"/>
    <cellStyle name="20% - Accent6 3 8 4" xfId="15679"/>
    <cellStyle name="20% - Accent6 3 8 5" xfId="21807"/>
    <cellStyle name="20% - Accent6 3 9" xfId="3226"/>
    <cellStyle name="20% - Accent6 3 9 2" xfId="6360"/>
    <cellStyle name="20% - Accent6 3 9 2 2" xfId="12602"/>
    <cellStyle name="20% - Accent6 3 9 2 3" xfId="18757"/>
    <cellStyle name="20% - Accent6 3 9 2 4" xfId="24884"/>
    <cellStyle name="20% - Accent6 3 9 3" xfId="9515"/>
    <cellStyle name="20% - Accent6 3 9 4" xfId="15680"/>
    <cellStyle name="20% - Accent6 3 9 5" xfId="21808"/>
    <cellStyle name="20% - Accent6 4" xfId="66"/>
    <cellStyle name="20% - Accent6 4 2" xfId="67"/>
    <cellStyle name="20% - Accent6 4 2 10" xfId="4919"/>
    <cellStyle name="20% - Accent6 4 2 10 2" xfId="11163"/>
    <cellStyle name="20% - Accent6 4 2 10 3" xfId="17318"/>
    <cellStyle name="20% - Accent6 4 2 10 4" xfId="23445"/>
    <cellStyle name="20% - Accent6 4 2 11" xfId="8077"/>
    <cellStyle name="20% - Accent6 4 2 12" xfId="14426"/>
    <cellStyle name="20% - Accent6 4 2 13" xfId="20357"/>
    <cellStyle name="20% - Accent6 4 2 2" xfId="2011"/>
    <cellStyle name="20% - Accent6 4 2 2 10" xfId="20688"/>
    <cellStyle name="20% - Accent6 4 2 2 2" xfId="2397"/>
    <cellStyle name="20% - Accent6 4 2 2 2 2" xfId="3230"/>
    <cellStyle name="20% - Accent6 4 2 2 2 2 2" xfId="6364"/>
    <cellStyle name="20% - Accent6 4 2 2 2 2 2 2" xfId="12606"/>
    <cellStyle name="20% - Accent6 4 2 2 2 2 2 3" xfId="18761"/>
    <cellStyle name="20% - Accent6 4 2 2 2 2 2 4" xfId="24888"/>
    <cellStyle name="20% - Accent6 4 2 2 2 2 3" xfId="9519"/>
    <cellStyle name="20% - Accent6 4 2 2 2 2 4" xfId="15684"/>
    <cellStyle name="20% - Accent6 4 2 2 2 2 5" xfId="21812"/>
    <cellStyle name="20% - Accent6 4 2 2 2 3" xfId="3229"/>
    <cellStyle name="20% - Accent6 4 2 2 2 3 2" xfId="6363"/>
    <cellStyle name="20% - Accent6 4 2 2 2 3 2 2" xfId="12605"/>
    <cellStyle name="20% - Accent6 4 2 2 2 3 2 3" xfId="18760"/>
    <cellStyle name="20% - Accent6 4 2 2 2 3 2 4" xfId="24887"/>
    <cellStyle name="20% - Accent6 4 2 2 2 3 3" xfId="9518"/>
    <cellStyle name="20% - Accent6 4 2 2 2 3 4" xfId="15683"/>
    <cellStyle name="20% - Accent6 4 2 2 2 3 5" xfId="21811"/>
    <cellStyle name="20% - Accent6 4 2 2 2 4" xfId="5710"/>
    <cellStyle name="20% - Accent6 4 2 2 2 4 2" xfId="11952"/>
    <cellStyle name="20% - Accent6 4 2 2 2 4 3" xfId="18107"/>
    <cellStyle name="20% - Accent6 4 2 2 2 4 4" xfId="24234"/>
    <cellStyle name="20% - Accent6 4 2 2 2 5" xfId="8864"/>
    <cellStyle name="20% - Accent6 4 2 2 2 6" xfId="14428"/>
    <cellStyle name="20% - Accent6 4 2 2 2 7" xfId="21044"/>
    <cellStyle name="20% - Accent6 4 2 2 3" xfId="2222"/>
    <cellStyle name="20% - Accent6 4 2 2 3 2" xfId="3232"/>
    <cellStyle name="20% - Accent6 4 2 2 3 2 2" xfId="6366"/>
    <cellStyle name="20% - Accent6 4 2 2 3 2 2 2" xfId="12608"/>
    <cellStyle name="20% - Accent6 4 2 2 3 2 2 3" xfId="18763"/>
    <cellStyle name="20% - Accent6 4 2 2 3 2 2 4" xfId="24890"/>
    <cellStyle name="20% - Accent6 4 2 2 3 2 3" xfId="9521"/>
    <cellStyle name="20% - Accent6 4 2 2 3 2 4" xfId="15686"/>
    <cellStyle name="20% - Accent6 4 2 2 3 2 5" xfId="21814"/>
    <cellStyle name="20% - Accent6 4 2 2 3 3" xfId="3231"/>
    <cellStyle name="20% - Accent6 4 2 2 3 3 2" xfId="6365"/>
    <cellStyle name="20% - Accent6 4 2 2 3 3 2 2" xfId="12607"/>
    <cellStyle name="20% - Accent6 4 2 2 3 3 2 3" xfId="18762"/>
    <cellStyle name="20% - Accent6 4 2 2 3 3 2 4" xfId="24889"/>
    <cellStyle name="20% - Accent6 4 2 2 3 3 3" xfId="9520"/>
    <cellStyle name="20% - Accent6 4 2 2 3 3 4" xfId="15685"/>
    <cellStyle name="20% - Accent6 4 2 2 3 3 5" xfId="21813"/>
    <cellStyle name="20% - Accent6 4 2 2 3 4" xfId="5535"/>
    <cellStyle name="20% - Accent6 4 2 2 3 4 2" xfId="11777"/>
    <cellStyle name="20% - Accent6 4 2 2 3 4 3" xfId="17932"/>
    <cellStyle name="20% - Accent6 4 2 2 3 4 4" xfId="24059"/>
    <cellStyle name="20% - Accent6 4 2 2 3 5" xfId="8689"/>
    <cellStyle name="20% - Accent6 4 2 2 3 6" xfId="14429"/>
    <cellStyle name="20% - Accent6 4 2 2 3 7" xfId="20869"/>
    <cellStyle name="20% - Accent6 4 2 2 4" xfId="3233"/>
    <cellStyle name="20% - Accent6 4 2 2 4 2" xfId="6367"/>
    <cellStyle name="20% - Accent6 4 2 2 4 2 2" xfId="12609"/>
    <cellStyle name="20% - Accent6 4 2 2 4 2 3" xfId="18764"/>
    <cellStyle name="20% - Accent6 4 2 2 4 2 4" xfId="24891"/>
    <cellStyle name="20% - Accent6 4 2 2 4 3" xfId="9522"/>
    <cellStyle name="20% - Accent6 4 2 2 4 4" xfId="15687"/>
    <cellStyle name="20% - Accent6 4 2 2 4 5" xfId="21815"/>
    <cellStyle name="20% - Accent6 4 2 2 5" xfId="3234"/>
    <cellStyle name="20% - Accent6 4 2 2 5 2" xfId="6368"/>
    <cellStyle name="20% - Accent6 4 2 2 5 2 2" xfId="12610"/>
    <cellStyle name="20% - Accent6 4 2 2 5 2 3" xfId="18765"/>
    <cellStyle name="20% - Accent6 4 2 2 5 2 4" xfId="24892"/>
    <cellStyle name="20% - Accent6 4 2 2 5 3" xfId="9523"/>
    <cellStyle name="20% - Accent6 4 2 2 5 4" xfId="15688"/>
    <cellStyle name="20% - Accent6 4 2 2 5 5" xfId="21816"/>
    <cellStyle name="20% - Accent6 4 2 2 6" xfId="3228"/>
    <cellStyle name="20% - Accent6 4 2 2 6 2" xfId="6362"/>
    <cellStyle name="20% - Accent6 4 2 2 6 2 2" xfId="12604"/>
    <cellStyle name="20% - Accent6 4 2 2 6 2 3" xfId="18759"/>
    <cellStyle name="20% - Accent6 4 2 2 6 2 4" xfId="24886"/>
    <cellStyle name="20% - Accent6 4 2 2 6 3" xfId="9517"/>
    <cellStyle name="20% - Accent6 4 2 2 6 4" xfId="15682"/>
    <cellStyle name="20% - Accent6 4 2 2 6 5" xfId="21810"/>
    <cellStyle name="20% - Accent6 4 2 2 7" xfId="5353"/>
    <cellStyle name="20% - Accent6 4 2 2 7 2" xfId="11595"/>
    <cellStyle name="20% - Accent6 4 2 2 7 3" xfId="17750"/>
    <cellStyle name="20% - Accent6 4 2 2 7 4" xfId="23877"/>
    <cellStyle name="20% - Accent6 4 2 2 8" xfId="8508"/>
    <cellStyle name="20% - Accent6 4 2 2 9" xfId="14427"/>
    <cellStyle name="20% - Accent6 4 2 3" xfId="2314"/>
    <cellStyle name="20% - Accent6 4 2 3 2" xfId="3236"/>
    <cellStyle name="20% - Accent6 4 2 3 2 2" xfId="6370"/>
    <cellStyle name="20% - Accent6 4 2 3 2 2 2" xfId="12612"/>
    <cellStyle name="20% - Accent6 4 2 3 2 2 3" xfId="18767"/>
    <cellStyle name="20% - Accent6 4 2 3 2 2 4" xfId="24894"/>
    <cellStyle name="20% - Accent6 4 2 3 2 3" xfId="9525"/>
    <cellStyle name="20% - Accent6 4 2 3 2 4" xfId="15690"/>
    <cellStyle name="20% - Accent6 4 2 3 2 5" xfId="21818"/>
    <cellStyle name="20% - Accent6 4 2 3 3" xfId="3235"/>
    <cellStyle name="20% - Accent6 4 2 3 3 2" xfId="6369"/>
    <cellStyle name="20% - Accent6 4 2 3 3 2 2" xfId="12611"/>
    <cellStyle name="20% - Accent6 4 2 3 3 2 3" xfId="18766"/>
    <cellStyle name="20% - Accent6 4 2 3 3 2 4" xfId="24893"/>
    <cellStyle name="20% - Accent6 4 2 3 3 3" xfId="9524"/>
    <cellStyle name="20% - Accent6 4 2 3 3 4" xfId="15689"/>
    <cellStyle name="20% - Accent6 4 2 3 3 5" xfId="21817"/>
    <cellStyle name="20% - Accent6 4 2 3 4" xfId="5627"/>
    <cellStyle name="20% - Accent6 4 2 3 4 2" xfId="11869"/>
    <cellStyle name="20% - Accent6 4 2 3 4 3" xfId="18024"/>
    <cellStyle name="20% - Accent6 4 2 3 4 4" xfId="24151"/>
    <cellStyle name="20% - Accent6 4 2 3 5" xfId="8781"/>
    <cellStyle name="20% - Accent6 4 2 3 6" xfId="14430"/>
    <cellStyle name="20% - Accent6 4 2 3 7" xfId="20961"/>
    <cellStyle name="20% - Accent6 4 2 4" xfId="2147"/>
    <cellStyle name="20% - Accent6 4 2 4 2" xfId="3238"/>
    <cellStyle name="20% - Accent6 4 2 4 2 2" xfId="6372"/>
    <cellStyle name="20% - Accent6 4 2 4 2 2 2" xfId="12614"/>
    <cellStyle name="20% - Accent6 4 2 4 2 2 3" xfId="18769"/>
    <cellStyle name="20% - Accent6 4 2 4 2 2 4" xfId="24896"/>
    <cellStyle name="20% - Accent6 4 2 4 2 3" xfId="9527"/>
    <cellStyle name="20% - Accent6 4 2 4 2 4" xfId="15692"/>
    <cellStyle name="20% - Accent6 4 2 4 2 5" xfId="21820"/>
    <cellStyle name="20% - Accent6 4 2 4 3" xfId="3237"/>
    <cellStyle name="20% - Accent6 4 2 4 3 2" xfId="6371"/>
    <cellStyle name="20% - Accent6 4 2 4 3 2 2" xfId="12613"/>
    <cellStyle name="20% - Accent6 4 2 4 3 2 3" xfId="18768"/>
    <cellStyle name="20% - Accent6 4 2 4 3 2 4" xfId="24895"/>
    <cellStyle name="20% - Accent6 4 2 4 3 3" xfId="9526"/>
    <cellStyle name="20% - Accent6 4 2 4 3 4" xfId="15691"/>
    <cellStyle name="20% - Accent6 4 2 4 3 5" xfId="21819"/>
    <cellStyle name="20% - Accent6 4 2 4 4" xfId="5460"/>
    <cellStyle name="20% - Accent6 4 2 4 4 2" xfId="11702"/>
    <cellStyle name="20% - Accent6 4 2 4 4 3" xfId="17857"/>
    <cellStyle name="20% - Accent6 4 2 4 4 4" xfId="23984"/>
    <cellStyle name="20% - Accent6 4 2 4 5" xfId="8614"/>
    <cellStyle name="20% - Accent6 4 2 4 6" xfId="14431"/>
    <cellStyle name="20% - Accent6 4 2 4 7" xfId="20794"/>
    <cellStyle name="20% - Accent6 4 2 5" xfId="784"/>
    <cellStyle name="20% - Accent6 4 2 5 2" xfId="3240"/>
    <cellStyle name="20% - Accent6 4 2 5 2 2" xfId="6374"/>
    <cellStyle name="20% - Accent6 4 2 5 2 2 2" xfId="12616"/>
    <cellStyle name="20% - Accent6 4 2 5 2 2 3" xfId="18771"/>
    <cellStyle name="20% - Accent6 4 2 5 2 2 4" xfId="24898"/>
    <cellStyle name="20% - Accent6 4 2 5 2 3" xfId="9529"/>
    <cellStyle name="20% - Accent6 4 2 5 2 4" xfId="15694"/>
    <cellStyle name="20% - Accent6 4 2 5 2 5" xfId="21822"/>
    <cellStyle name="20% - Accent6 4 2 5 3" xfId="3239"/>
    <cellStyle name="20% - Accent6 4 2 5 3 2" xfId="6373"/>
    <cellStyle name="20% - Accent6 4 2 5 3 2 2" xfId="12615"/>
    <cellStyle name="20% - Accent6 4 2 5 3 2 3" xfId="18770"/>
    <cellStyle name="20% - Accent6 4 2 5 3 2 4" xfId="24897"/>
    <cellStyle name="20% - Accent6 4 2 5 3 3" xfId="9528"/>
    <cellStyle name="20% - Accent6 4 2 5 3 4" xfId="15693"/>
    <cellStyle name="20% - Accent6 4 2 5 3 5" xfId="21821"/>
    <cellStyle name="20% - Accent6 4 2 5 4" xfId="5133"/>
    <cellStyle name="20% - Accent6 4 2 5 4 2" xfId="11376"/>
    <cellStyle name="20% - Accent6 4 2 5 4 3" xfId="17531"/>
    <cellStyle name="20% - Accent6 4 2 5 4 4" xfId="23658"/>
    <cellStyle name="20% - Accent6 4 2 5 5" xfId="8290"/>
    <cellStyle name="20% - Accent6 4 2 5 6" xfId="14432"/>
    <cellStyle name="20% - Accent6 4 2 5 7" xfId="20473"/>
    <cellStyle name="20% - Accent6 4 2 6" xfId="231"/>
    <cellStyle name="20% - Accent6 4 2 6 2" xfId="3242"/>
    <cellStyle name="20% - Accent6 4 2 6 2 2" xfId="6376"/>
    <cellStyle name="20% - Accent6 4 2 6 2 2 2" xfId="12618"/>
    <cellStyle name="20% - Accent6 4 2 6 2 2 3" xfId="18773"/>
    <cellStyle name="20% - Accent6 4 2 6 2 2 4" xfId="24900"/>
    <cellStyle name="20% - Accent6 4 2 6 2 3" xfId="9531"/>
    <cellStyle name="20% - Accent6 4 2 6 2 4" xfId="15696"/>
    <cellStyle name="20% - Accent6 4 2 6 2 5" xfId="21824"/>
    <cellStyle name="20% - Accent6 4 2 6 3" xfId="3241"/>
    <cellStyle name="20% - Accent6 4 2 6 3 2" xfId="6375"/>
    <cellStyle name="20% - Accent6 4 2 6 3 2 2" xfId="12617"/>
    <cellStyle name="20% - Accent6 4 2 6 3 2 3" xfId="18772"/>
    <cellStyle name="20% - Accent6 4 2 6 3 2 4" xfId="24899"/>
    <cellStyle name="20% - Accent6 4 2 6 3 3" xfId="9530"/>
    <cellStyle name="20% - Accent6 4 2 6 3 4" xfId="15695"/>
    <cellStyle name="20% - Accent6 4 2 6 3 5" xfId="21823"/>
    <cellStyle name="20% - Accent6 4 2 6 4" xfId="5011"/>
    <cellStyle name="20% - Accent6 4 2 6 4 2" xfId="11254"/>
    <cellStyle name="20% - Accent6 4 2 6 4 3" xfId="17409"/>
    <cellStyle name="20% - Accent6 4 2 6 4 4" xfId="23536"/>
    <cellStyle name="20% - Accent6 4 2 6 5" xfId="8169"/>
    <cellStyle name="20% - Accent6 4 2 6 6" xfId="14433"/>
    <cellStyle name="20% - Accent6 4 2 6 7" xfId="21165"/>
    <cellStyle name="20% - Accent6 4 2 7" xfId="3243"/>
    <cellStyle name="20% - Accent6 4 2 7 2" xfId="6377"/>
    <cellStyle name="20% - Accent6 4 2 7 2 2" xfId="12619"/>
    <cellStyle name="20% - Accent6 4 2 7 2 3" xfId="18774"/>
    <cellStyle name="20% - Accent6 4 2 7 2 4" xfId="24901"/>
    <cellStyle name="20% - Accent6 4 2 7 3" xfId="9532"/>
    <cellStyle name="20% - Accent6 4 2 7 4" xfId="15697"/>
    <cellStyle name="20% - Accent6 4 2 7 5" xfId="21825"/>
    <cellStyle name="20% - Accent6 4 2 8" xfId="3244"/>
    <cellStyle name="20% - Accent6 4 2 8 2" xfId="6378"/>
    <cellStyle name="20% - Accent6 4 2 8 2 2" xfId="12620"/>
    <cellStyle name="20% - Accent6 4 2 8 2 3" xfId="18775"/>
    <cellStyle name="20% - Accent6 4 2 8 2 4" xfId="24902"/>
    <cellStyle name="20% - Accent6 4 2 8 3" xfId="9533"/>
    <cellStyle name="20% - Accent6 4 2 8 4" xfId="15698"/>
    <cellStyle name="20% - Accent6 4 2 8 5" xfId="21826"/>
    <cellStyle name="20% - Accent6 4 2 9" xfId="3227"/>
    <cellStyle name="20% - Accent6 4 2 9 2" xfId="6361"/>
    <cellStyle name="20% - Accent6 4 2 9 2 2" xfId="12603"/>
    <cellStyle name="20% - Accent6 4 2 9 2 3" xfId="18758"/>
    <cellStyle name="20% - Accent6 4 2 9 2 4" xfId="24885"/>
    <cellStyle name="20% - Accent6 4 2 9 3" xfId="9516"/>
    <cellStyle name="20% - Accent6 4 2 9 4" xfId="15681"/>
    <cellStyle name="20% - Accent6 4 2 9 5" xfId="21809"/>
    <cellStyle name="20% - Accent6 5" xfId="477"/>
    <cellStyle name="20% - Accent6 5 2" xfId="3246"/>
    <cellStyle name="20% - Accent6 5 2 2" xfId="6380"/>
    <cellStyle name="20% - Accent6 5 2 2 2" xfId="12622"/>
    <cellStyle name="20% - Accent6 5 2 2 3" xfId="18777"/>
    <cellStyle name="20% - Accent6 5 2 2 4" xfId="24904"/>
    <cellStyle name="20% - Accent6 5 2 3" xfId="9535"/>
    <cellStyle name="20% - Accent6 5 2 4" xfId="15700"/>
    <cellStyle name="20% - Accent6 5 2 5" xfId="21828"/>
    <cellStyle name="20% - Accent6 5 3" xfId="3247"/>
    <cellStyle name="20% - Accent6 5 3 2" xfId="6381"/>
    <cellStyle name="20% - Accent6 5 3 2 2" xfId="12623"/>
    <cellStyle name="20% - Accent6 5 3 2 3" xfId="18778"/>
    <cellStyle name="20% - Accent6 5 3 2 4" xfId="24905"/>
    <cellStyle name="20% - Accent6 5 3 3" xfId="9536"/>
    <cellStyle name="20% - Accent6 5 3 4" xfId="15701"/>
    <cellStyle name="20% - Accent6 5 3 5" xfId="21829"/>
    <cellStyle name="20% - Accent6 5 4" xfId="3245"/>
    <cellStyle name="20% - Accent6 5 4 2" xfId="6379"/>
    <cellStyle name="20% - Accent6 5 4 2 2" xfId="12621"/>
    <cellStyle name="20% - Accent6 5 4 2 3" xfId="18776"/>
    <cellStyle name="20% - Accent6 5 4 2 4" xfId="24903"/>
    <cellStyle name="20% - Accent6 5 4 3" xfId="9534"/>
    <cellStyle name="20% - Accent6 5 4 4" xfId="15699"/>
    <cellStyle name="20% - Accent6 5 4 5" xfId="21827"/>
    <cellStyle name="20% - Accent6 5 5" xfId="5095"/>
    <cellStyle name="20% - Accent6 5 5 2" xfId="11338"/>
    <cellStyle name="20% - Accent6 5 5 3" xfId="17493"/>
    <cellStyle name="20% - Accent6 5 5 4" xfId="23620"/>
    <cellStyle name="20% - Accent6 5 6" xfId="8254"/>
    <cellStyle name="20% - Accent6 5 7" xfId="14434"/>
    <cellStyle name="20% - Accent6 5 8" xfId="20440"/>
    <cellStyle name="20% - Accent6 6" xfId="193"/>
    <cellStyle name="20% - Accent6 6 2" xfId="3249"/>
    <cellStyle name="20% - Accent6 6 2 2" xfId="6383"/>
    <cellStyle name="20% - Accent6 6 2 2 2" xfId="12625"/>
    <cellStyle name="20% - Accent6 6 2 2 3" xfId="18780"/>
    <cellStyle name="20% - Accent6 6 2 2 4" xfId="24907"/>
    <cellStyle name="20% - Accent6 6 2 3" xfId="9538"/>
    <cellStyle name="20% - Accent6 6 2 4" xfId="15703"/>
    <cellStyle name="20% - Accent6 6 2 5" xfId="21831"/>
    <cellStyle name="20% - Accent6 6 3" xfId="3248"/>
    <cellStyle name="20% - Accent6 6 3 2" xfId="6382"/>
    <cellStyle name="20% - Accent6 6 3 2 2" xfId="12624"/>
    <cellStyle name="20% - Accent6 6 3 2 3" xfId="18779"/>
    <cellStyle name="20% - Accent6 6 3 2 4" xfId="24906"/>
    <cellStyle name="20% - Accent6 6 3 3" xfId="9537"/>
    <cellStyle name="20% - Accent6 6 3 4" xfId="15702"/>
    <cellStyle name="20% - Accent6 6 3 5" xfId="21830"/>
    <cellStyle name="20% - Accent6 6 4" xfId="4974"/>
    <cellStyle name="20% - Accent6 6 4 2" xfId="11217"/>
    <cellStyle name="20% - Accent6 6 4 3" xfId="17372"/>
    <cellStyle name="20% - Accent6 6 4 4" xfId="23499"/>
    <cellStyle name="20% - Accent6 6 5" xfId="8132"/>
    <cellStyle name="20% - Accent6 6 6" xfId="15097"/>
    <cellStyle name="20% - Accent6 6 7" xfId="21225"/>
    <cellStyle name="20% - Accent6 7" xfId="3250"/>
    <cellStyle name="20% - Accent6 7 2" xfId="6384"/>
    <cellStyle name="20% - Accent6 7 2 2" xfId="12626"/>
    <cellStyle name="20% - Accent6 7 2 3" xfId="18781"/>
    <cellStyle name="20% - Accent6 7 2 4" xfId="24908"/>
    <cellStyle name="20% - Accent6 7 3" xfId="9539"/>
    <cellStyle name="20% - Accent6 7 4" xfId="15704"/>
    <cellStyle name="20% - Accent6 7 5" xfId="21832"/>
    <cellStyle name="20% - Accent6 8" xfId="4860"/>
    <cellStyle name="20% - Accent6 8 2" xfId="7905"/>
    <cellStyle name="20% - Accent6 8 2 2" xfId="14147"/>
    <cellStyle name="20% - Accent6 8 2 3" xfId="20302"/>
    <cellStyle name="20% - Accent6 8 2 4" xfId="26429"/>
    <cellStyle name="20% - Accent6 8 3" xfId="11116"/>
    <cellStyle name="20% - Accent6 8 4" xfId="17271"/>
    <cellStyle name="20% - Accent6 8 5" xfId="23398"/>
    <cellStyle name="20% - Accent6 9" xfId="4886"/>
    <cellStyle name="20% - Accent6 9 2" xfId="11132"/>
    <cellStyle name="20% - Accent6 9 3" xfId="17287"/>
    <cellStyle name="20% - Accent6 9 4" xfId="23414"/>
    <cellStyle name="40 % – Zvýraznění1" xfId="514"/>
    <cellStyle name="40 % – Zvýraznění1 10" xfId="953"/>
    <cellStyle name="40 % – Zvýraznění1 11" xfId="954"/>
    <cellStyle name="40 % – Zvýraznění1 12" xfId="955"/>
    <cellStyle name="40 % – Zvýraznění1 13" xfId="956"/>
    <cellStyle name="40 % – Zvýraznění1 14" xfId="952"/>
    <cellStyle name="40 % – Zvýraznění1 15" xfId="1897"/>
    <cellStyle name="40 % – Zvýraznění1 2" xfId="957"/>
    <cellStyle name="40 % – Zvýraznění1 3" xfId="958"/>
    <cellStyle name="40 % – Zvýraznění1 4" xfId="959"/>
    <cellStyle name="40 % – Zvýraznění1 5" xfId="960"/>
    <cellStyle name="40 % – Zvýraznění1 6" xfId="961"/>
    <cellStyle name="40 % – Zvýraznění1 7" xfId="962"/>
    <cellStyle name="40 % – Zvýraznění1 8" xfId="963"/>
    <cellStyle name="40 % – Zvýraznění1 9" xfId="964"/>
    <cellStyle name="40 % – Zvýraznění2" xfId="515"/>
    <cellStyle name="40 % – Zvýraznění2 10" xfId="966"/>
    <cellStyle name="40 % – Zvýraznění2 11" xfId="967"/>
    <cellStyle name="40 % – Zvýraznění2 12" xfId="968"/>
    <cellStyle name="40 % – Zvýraznění2 13" xfId="969"/>
    <cellStyle name="40 % – Zvýraznění2 14" xfId="965"/>
    <cellStyle name="40 % – Zvýraznění2 15" xfId="1480"/>
    <cellStyle name="40 % – Zvýraznění2 2" xfId="970"/>
    <cellStyle name="40 % – Zvýraznění2 3" xfId="971"/>
    <cellStyle name="40 % – Zvýraznění2 4" xfId="972"/>
    <cellStyle name="40 % – Zvýraznění2 5" xfId="973"/>
    <cellStyle name="40 % – Zvýraznění2 6" xfId="974"/>
    <cellStyle name="40 % – Zvýraznění2 7" xfId="975"/>
    <cellStyle name="40 % – Zvýraznění2 8" xfId="976"/>
    <cellStyle name="40 % – Zvýraznění2 9" xfId="977"/>
    <cellStyle name="40 % – Zvýraznění3" xfId="516"/>
    <cellStyle name="40 % – Zvýraznění3 10" xfId="979"/>
    <cellStyle name="40 % – Zvýraznění3 11" xfId="980"/>
    <cellStyle name="40 % – Zvýraznění3 12" xfId="981"/>
    <cellStyle name="40 % – Zvýraznění3 13" xfId="982"/>
    <cellStyle name="40 % – Zvýraznění3 14" xfId="978"/>
    <cellStyle name="40 % – Zvýraznění3 15" xfId="1727"/>
    <cellStyle name="40 % – Zvýraznění3 2" xfId="983"/>
    <cellStyle name="40 % – Zvýraznění3 3" xfId="984"/>
    <cellStyle name="40 % – Zvýraznění3 4" xfId="985"/>
    <cellStyle name="40 % – Zvýraznění3 5" xfId="986"/>
    <cellStyle name="40 % – Zvýraznění3 6" xfId="987"/>
    <cellStyle name="40 % – Zvýraznění3 7" xfId="988"/>
    <cellStyle name="40 % – Zvýraznění3 8" xfId="989"/>
    <cellStyle name="40 % – Zvýraznění3 9" xfId="990"/>
    <cellStyle name="40 % – Zvýraznění4" xfId="517"/>
    <cellStyle name="40 % – Zvýraznění4 10" xfId="992"/>
    <cellStyle name="40 % – Zvýraznění4 11" xfId="993"/>
    <cellStyle name="40 % – Zvýraznění4 12" xfId="994"/>
    <cellStyle name="40 % – Zvýraznění4 13" xfId="995"/>
    <cellStyle name="40 % – Zvýraznění4 14" xfId="991"/>
    <cellStyle name="40 % – Zvýraznění4 15" xfId="1418"/>
    <cellStyle name="40 % – Zvýraznění4 2" xfId="996"/>
    <cellStyle name="40 % – Zvýraznění4 3" xfId="997"/>
    <cellStyle name="40 % – Zvýraznění4 4" xfId="998"/>
    <cellStyle name="40 % – Zvýraznění4 5" xfId="999"/>
    <cellStyle name="40 % – Zvýraznění4 6" xfId="1000"/>
    <cellStyle name="40 % – Zvýraznění4 7" xfId="1001"/>
    <cellStyle name="40 % – Zvýraznění4 8" xfId="1002"/>
    <cellStyle name="40 % – Zvýraznění4 9" xfId="1003"/>
    <cellStyle name="40 % – Zvýraznění5" xfId="518"/>
    <cellStyle name="40 % – Zvýraznění5 10" xfId="1005"/>
    <cellStyle name="40 % – Zvýraznění5 11" xfId="1006"/>
    <cellStyle name="40 % – Zvýraznění5 12" xfId="1007"/>
    <cellStyle name="40 % – Zvýraznění5 13" xfId="1008"/>
    <cellStyle name="40 % – Zvýraznění5 14" xfId="1004"/>
    <cellStyle name="40 % – Zvýraznění5 15" xfId="1556"/>
    <cellStyle name="40 % – Zvýraznění5 2" xfId="1009"/>
    <cellStyle name="40 % – Zvýraznění5 3" xfId="1010"/>
    <cellStyle name="40 % – Zvýraznění5 4" xfId="1011"/>
    <cellStyle name="40 % – Zvýraznění5 5" xfId="1012"/>
    <cellStyle name="40 % – Zvýraznění5 6" xfId="1013"/>
    <cellStyle name="40 % – Zvýraznění5 7" xfId="1014"/>
    <cellStyle name="40 % – Zvýraznění5 8" xfId="1015"/>
    <cellStyle name="40 % – Zvýraznění5 9" xfId="1016"/>
    <cellStyle name="40 % – Zvýraznění6" xfId="519"/>
    <cellStyle name="40 % – Zvýraznění6 10" xfId="1018"/>
    <cellStyle name="40 % – Zvýraznění6 11" xfId="1019"/>
    <cellStyle name="40 % – Zvýraznění6 12" xfId="1020"/>
    <cellStyle name="40 % – Zvýraznění6 13" xfId="1021"/>
    <cellStyle name="40 % – Zvýraznění6 14" xfId="1017"/>
    <cellStyle name="40 % – Zvýraznění6 15" xfId="1405"/>
    <cellStyle name="40 % – Zvýraznění6 2" xfId="1022"/>
    <cellStyle name="40 % – Zvýraznění6 3" xfId="1023"/>
    <cellStyle name="40 % – Zvýraznění6 4" xfId="1024"/>
    <cellStyle name="40 % – Zvýraznění6 5" xfId="1025"/>
    <cellStyle name="40 % – Zvýraznění6 6" xfId="1026"/>
    <cellStyle name="40 % – Zvýraznění6 7" xfId="1027"/>
    <cellStyle name="40 % – Zvýraznění6 8" xfId="1028"/>
    <cellStyle name="40 % – Zvýraznění6 9" xfId="1029"/>
    <cellStyle name="40 % - zvýraznenie1" xfId="7"/>
    <cellStyle name="40 % - zvýraznenie1 2" xfId="1519"/>
    <cellStyle name="40 % - zvýraznenie1 2 2" xfId="7928"/>
    <cellStyle name="40 % - zvýraznenie1 2 2 2" xfId="11067"/>
    <cellStyle name="40 % - zvýraznenie1 2 2 3" xfId="17222"/>
    <cellStyle name="40 % - zvýraznenie1 2 2 4" xfId="23349"/>
    <cellStyle name="40 % - zvýraznenie1 3" xfId="2555"/>
    <cellStyle name="40 % - zvýraznenie1 4" xfId="7929"/>
    <cellStyle name="40 % - zvýraznenie1 4 2" xfId="11068"/>
    <cellStyle name="40 % - zvýraznenie1 4 3" xfId="17223"/>
    <cellStyle name="40 % - zvýraznenie1 4 4" xfId="23350"/>
    <cellStyle name="40 % - zvýraznenie1 5" xfId="8035"/>
    <cellStyle name="40 % - zvýraznenie1 5 2" xfId="15080"/>
    <cellStyle name="40 % - zvýraznenie1 5 3" xfId="21208"/>
    <cellStyle name="40 % - zvýraznenie2" xfId="8"/>
    <cellStyle name="40 % - zvýraznenie2 2" xfId="1484"/>
    <cellStyle name="40 % - zvýraznenie2 2 2" xfId="7930"/>
    <cellStyle name="40 % - zvýraznenie2 2 2 2" xfId="11065"/>
    <cellStyle name="40 % - zvýraznenie2 2 2 3" xfId="17220"/>
    <cellStyle name="40 % - zvýraznenie2 2 2 4" xfId="23347"/>
    <cellStyle name="40 % - zvýraznenie2 3" xfId="2556"/>
    <cellStyle name="40 % - zvýraznenie2 4" xfId="7931"/>
    <cellStyle name="40 % - zvýraznenie2 4 2" xfId="11066"/>
    <cellStyle name="40 % - zvýraznenie2 4 3" xfId="17221"/>
    <cellStyle name="40 % - zvýraznenie2 4 4" xfId="23348"/>
    <cellStyle name="40 % - zvýraznenie2 5" xfId="8037"/>
    <cellStyle name="40 % - zvýraznenie2 5 2" xfId="15082"/>
    <cellStyle name="40 % - zvýraznenie2 5 3" xfId="21210"/>
    <cellStyle name="40 % - zvýraznenie3" xfId="9"/>
    <cellStyle name="40 % - zvýraznenie3 2" xfId="1637"/>
    <cellStyle name="40 % - zvýraznenie3 2 2" xfId="7932"/>
    <cellStyle name="40 % - zvýraznenie3 2 2 2" xfId="11063"/>
    <cellStyle name="40 % - zvýraznenie3 2 2 3" xfId="17218"/>
    <cellStyle name="40 % - zvýraznenie3 2 2 4" xfId="23345"/>
    <cellStyle name="40 % - zvýraznenie3 3" xfId="2557"/>
    <cellStyle name="40 % - zvýraznenie3 4" xfId="7933"/>
    <cellStyle name="40 % - zvýraznenie3 4 2" xfId="11064"/>
    <cellStyle name="40 % - zvýraznenie3 4 3" xfId="17219"/>
    <cellStyle name="40 % - zvýraznenie3 4 4" xfId="23346"/>
    <cellStyle name="40 % - zvýraznenie3 5" xfId="8039"/>
    <cellStyle name="40 % - zvýraznenie3 5 2" xfId="15084"/>
    <cellStyle name="40 % - zvýraznenie3 5 3" xfId="21212"/>
    <cellStyle name="40 % - zvýraznenie4" xfId="10"/>
    <cellStyle name="40 % - zvýraznenie4 2" xfId="1471"/>
    <cellStyle name="40 % - zvýraznenie4 2 2" xfId="7934"/>
    <cellStyle name="40 % - zvýraznenie4 2 2 2" xfId="11080"/>
    <cellStyle name="40 % - zvýraznenie4 2 2 3" xfId="17235"/>
    <cellStyle name="40 % - zvýraznenie4 2 2 4" xfId="23362"/>
    <cellStyle name="40 % - zvýraznenie4 3" xfId="2558"/>
    <cellStyle name="40 % - zvýraznenie4 4" xfId="7935"/>
    <cellStyle name="40 % - zvýraznenie4 4 2" xfId="11078"/>
    <cellStyle name="40 % - zvýraznenie4 4 3" xfId="17233"/>
    <cellStyle name="40 % - zvýraznenie4 4 4" xfId="23360"/>
    <cellStyle name="40 % - zvýraznenie4 5" xfId="8041"/>
    <cellStyle name="40 % - zvýraznenie4 5 2" xfId="15086"/>
    <cellStyle name="40 % - zvýraznenie4 5 3" xfId="21214"/>
    <cellStyle name="40 % - zvýraznenie5" xfId="11"/>
    <cellStyle name="40 % - zvýraznenie5 2" xfId="1664"/>
    <cellStyle name="40 % - zvýraznenie5 2 2" xfId="7936"/>
    <cellStyle name="40 % - zvýraznenie5 2 2 2" xfId="11103"/>
    <cellStyle name="40 % - zvýraznenie5 2 2 3" xfId="17258"/>
    <cellStyle name="40 % - zvýraznenie5 2 2 4" xfId="23385"/>
    <cellStyle name="40 % - zvýraznenie5 3" xfId="2559"/>
    <cellStyle name="40 % - zvýraznenie5 4" xfId="7937"/>
    <cellStyle name="40 % - zvýraznenie5 4 2" xfId="11079"/>
    <cellStyle name="40 % - zvýraznenie5 4 3" xfId="17234"/>
    <cellStyle name="40 % - zvýraznenie5 4 4" xfId="23361"/>
    <cellStyle name="40 % - zvýraznenie5 5" xfId="8043"/>
    <cellStyle name="40 % - zvýraznenie5 5 2" xfId="15088"/>
    <cellStyle name="40 % - zvýraznenie5 5 3" xfId="21216"/>
    <cellStyle name="40 % - zvýraznenie6" xfId="12"/>
    <cellStyle name="40 % - zvýraznenie6 2" xfId="1679"/>
    <cellStyle name="40 % - zvýraznenie6 2 2" xfId="7938"/>
    <cellStyle name="40 % - zvýraznenie6 2 2 2" xfId="11095"/>
    <cellStyle name="40 % - zvýraznenie6 2 2 3" xfId="17250"/>
    <cellStyle name="40 % - zvýraznenie6 2 2 4" xfId="23377"/>
    <cellStyle name="40 % - zvýraznenie6 3" xfId="2560"/>
    <cellStyle name="40 % - zvýraznenie6 4" xfId="7939"/>
    <cellStyle name="40 % - zvýraznenie6 4 2" xfId="11102"/>
    <cellStyle name="40 % - zvýraznenie6 4 3" xfId="17257"/>
    <cellStyle name="40 % - zvýraznenie6 4 4" xfId="23384"/>
    <cellStyle name="40 % - zvýraznenie6 5" xfId="8045"/>
    <cellStyle name="40 % - zvýraznenie6 5 2" xfId="15090"/>
    <cellStyle name="40 % - zvýraznenie6 5 3" xfId="21218"/>
    <cellStyle name="40 % - Accent1" xfId="520"/>
    <cellStyle name="40 % - Accent2" xfId="521"/>
    <cellStyle name="40 % - Accent3" xfId="522"/>
    <cellStyle name="40 % - Accent4" xfId="523"/>
    <cellStyle name="40 % - Accent5" xfId="524"/>
    <cellStyle name="40 % - Accent6" xfId="525"/>
    <cellStyle name="40% - Accent1 10" xfId="15066"/>
    <cellStyle name="40% - Accent1 11" xfId="20321"/>
    <cellStyle name="40% - Accent1 2" xfId="68"/>
    <cellStyle name="40% - Accent1 2 10" xfId="3251"/>
    <cellStyle name="40% - Accent1 2 10 2" xfId="6385"/>
    <cellStyle name="40% - Accent1 2 10 2 2" xfId="12627"/>
    <cellStyle name="40% - Accent1 2 10 2 3" xfId="18782"/>
    <cellStyle name="40% - Accent1 2 10 2 4" xfId="24909"/>
    <cellStyle name="40% - Accent1 2 10 3" xfId="9540"/>
    <cellStyle name="40% - Accent1 2 10 4" xfId="15705"/>
    <cellStyle name="40% - Accent1 2 10 5" xfId="21833"/>
    <cellStyle name="40% - Accent1 2 11" xfId="4920"/>
    <cellStyle name="40% - Accent1 2 11 2" xfId="11164"/>
    <cellStyle name="40% - Accent1 2 11 3" xfId="17319"/>
    <cellStyle name="40% - Accent1 2 11 4" xfId="23446"/>
    <cellStyle name="40% - Accent1 2 12" xfId="8078"/>
    <cellStyle name="40% - Accent1 2 13" xfId="14435"/>
    <cellStyle name="40% - Accent1 2 14" xfId="20358"/>
    <cellStyle name="40% - Accent1 2 2" xfId="69"/>
    <cellStyle name="40% - Accent1 2 2 10" xfId="4921"/>
    <cellStyle name="40% - Accent1 2 2 10 2" xfId="11165"/>
    <cellStyle name="40% - Accent1 2 2 10 3" xfId="17320"/>
    <cellStyle name="40% - Accent1 2 2 10 4" xfId="23447"/>
    <cellStyle name="40% - Accent1 2 2 11" xfId="8079"/>
    <cellStyle name="40% - Accent1 2 2 12" xfId="14436"/>
    <cellStyle name="40% - Accent1 2 2 13" xfId="20359"/>
    <cellStyle name="40% - Accent1 2 2 2" xfId="2013"/>
    <cellStyle name="40% - Accent1 2 2 2 10" xfId="20690"/>
    <cellStyle name="40% - Accent1 2 2 2 2" xfId="2399"/>
    <cellStyle name="40% - Accent1 2 2 2 2 2" xfId="3255"/>
    <cellStyle name="40% - Accent1 2 2 2 2 2 2" xfId="6389"/>
    <cellStyle name="40% - Accent1 2 2 2 2 2 2 2" xfId="12631"/>
    <cellStyle name="40% - Accent1 2 2 2 2 2 2 3" xfId="18786"/>
    <cellStyle name="40% - Accent1 2 2 2 2 2 2 4" xfId="24913"/>
    <cellStyle name="40% - Accent1 2 2 2 2 2 3" xfId="9544"/>
    <cellStyle name="40% - Accent1 2 2 2 2 2 4" xfId="15709"/>
    <cellStyle name="40% - Accent1 2 2 2 2 2 5" xfId="21837"/>
    <cellStyle name="40% - Accent1 2 2 2 2 3" xfId="3254"/>
    <cellStyle name="40% - Accent1 2 2 2 2 3 2" xfId="6388"/>
    <cellStyle name="40% - Accent1 2 2 2 2 3 2 2" xfId="12630"/>
    <cellStyle name="40% - Accent1 2 2 2 2 3 2 3" xfId="18785"/>
    <cellStyle name="40% - Accent1 2 2 2 2 3 2 4" xfId="24912"/>
    <cellStyle name="40% - Accent1 2 2 2 2 3 3" xfId="9543"/>
    <cellStyle name="40% - Accent1 2 2 2 2 3 4" xfId="15708"/>
    <cellStyle name="40% - Accent1 2 2 2 2 3 5" xfId="21836"/>
    <cellStyle name="40% - Accent1 2 2 2 2 4" xfId="5712"/>
    <cellStyle name="40% - Accent1 2 2 2 2 4 2" xfId="11954"/>
    <cellStyle name="40% - Accent1 2 2 2 2 4 3" xfId="18109"/>
    <cellStyle name="40% - Accent1 2 2 2 2 4 4" xfId="24236"/>
    <cellStyle name="40% - Accent1 2 2 2 2 5" xfId="8866"/>
    <cellStyle name="40% - Accent1 2 2 2 2 6" xfId="14438"/>
    <cellStyle name="40% - Accent1 2 2 2 2 7" xfId="21046"/>
    <cellStyle name="40% - Accent1 2 2 2 3" xfId="2224"/>
    <cellStyle name="40% - Accent1 2 2 2 3 2" xfId="3257"/>
    <cellStyle name="40% - Accent1 2 2 2 3 2 2" xfId="6391"/>
    <cellStyle name="40% - Accent1 2 2 2 3 2 2 2" xfId="12633"/>
    <cellStyle name="40% - Accent1 2 2 2 3 2 2 3" xfId="18788"/>
    <cellStyle name="40% - Accent1 2 2 2 3 2 2 4" xfId="24915"/>
    <cellStyle name="40% - Accent1 2 2 2 3 2 3" xfId="9546"/>
    <cellStyle name="40% - Accent1 2 2 2 3 2 4" xfId="15711"/>
    <cellStyle name="40% - Accent1 2 2 2 3 2 5" xfId="21839"/>
    <cellStyle name="40% - Accent1 2 2 2 3 3" xfId="3256"/>
    <cellStyle name="40% - Accent1 2 2 2 3 3 2" xfId="6390"/>
    <cellStyle name="40% - Accent1 2 2 2 3 3 2 2" xfId="12632"/>
    <cellStyle name="40% - Accent1 2 2 2 3 3 2 3" xfId="18787"/>
    <cellStyle name="40% - Accent1 2 2 2 3 3 2 4" xfId="24914"/>
    <cellStyle name="40% - Accent1 2 2 2 3 3 3" xfId="9545"/>
    <cellStyle name="40% - Accent1 2 2 2 3 3 4" xfId="15710"/>
    <cellStyle name="40% - Accent1 2 2 2 3 3 5" xfId="21838"/>
    <cellStyle name="40% - Accent1 2 2 2 3 4" xfId="5537"/>
    <cellStyle name="40% - Accent1 2 2 2 3 4 2" xfId="11779"/>
    <cellStyle name="40% - Accent1 2 2 2 3 4 3" xfId="17934"/>
    <cellStyle name="40% - Accent1 2 2 2 3 4 4" xfId="24061"/>
    <cellStyle name="40% - Accent1 2 2 2 3 5" xfId="8691"/>
    <cellStyle name="40% - Accent1 2 2 2 3 6" xfId="14439"/>
    <cellStyle name="40% - Accent1 2 2 2 3 7" xfId="20871"/>
    <cellStyle name="40% - Accent1 2 2 2 4" xfId="3258"/>
    <cellStyle name="40% - Accent1 2 2 2 4 2" xfId="6392"/>
    <cellStyle name="40% - Accent1 2 2 2 4 2 2" xfId="12634"/>
    <cellStyle name="40% - Accent1 2 2 2 4 2 3" xfId="18789"/>
    <cellStyle name="40% - Accent1 2 2 2 4 2 4" xfId="24916"/>
    <cellStyle name="40% - Accent1 2 2 2 4 3" xfId="9547"/>
    <cellStyle name="40% - Accent1 2 2 2 4 4" xfId="15712"/>
    <cellStyle name="40% - Accent1 2 2 2 4 5" xfId="21840"/>
    <cellStyle name="40% - Accent1 2 2 2 5" xfId="3259"/>
    <cellStyle name="40% - Accent1 2 2 2 5 2" xfId="6393"/>
    <cellStyle name="40% - Accent1 2 2 2 5 2 2" xfId="12635"/>
    <cellStyle name="40% - Accent1 2 2 2 5 2 3" xfId="18790"/>
    <cellStyle name="40% - Accent1 2 2 2 5 2 4" xfId="24917"/>
    <cellStyle name="40% - Accent1 2 2 2 5 3" xfId="9548"/>
    <cellStyle name="40% - Accent1 2 2 2 5 4" xfId="15713"/>
    <cellStyle name="40% - Accent1 2 2 2 5 5" xfId="21841"/>
    <cellStyle name="40% - Accent1 2 2 2 6" xfId="3253"/>
    <cellStyle name="40% - Accent1 2 2 2 6 2" xfId="6387"/>
    <cellStyle name="40% - Accent1 2 2 2 6 2 2" xfId="12629"/>
    <cellStyle name="40% - Accent1 2 2 2 6 2 3" xfId="18784"/>
    <cellStyle name="40% - Accent1 2 2 2 6 2 4" xfId="24911"/>
    <cellStyle name="40% - Accent1 2 2 2 6 3" xfId="9542"/>
    <cellStyle name="40% - Accent1 2 2 2 6 4" xfId="15707"/>
    <cellStyle name="40% - Accent1 2 2 2 6 5" xfId="21835"/>
    <cellStyle name="40% - Accent1 2 2 2 7" xfId="5355"/>
    <cellStyle name="40% - Accent1 2 2 2 7 2" xfId="11597"/>
    <cellStyle name="40% - Accent1 2 2 2 7 3" xfId="17752"/>
    <cellStyle name="40% - Accent1 2 2 2 7 4" xfId="23879"/>
    <cellStyle name="40% - Accent1 2 2 2 8" xfId="8510"/>
    <cellStyle name="40% - Accent1 2 2 2 9" xfId="14437"/>
    <cellStyle name="40% - Accent1 2 2 3" xfId="2316"/>
    <cellStyle name="40% - Accent1 2 2 3 2" xfId="3261"/>
    <cellStyle name="40% - Accent1 2 2 3 2 2" xfId="6395"/>
    <cellStyle name="40% - Accent1 2 2 3 2 2 2" xfId="12637"/>
    <cellStyle name="40% - Accent1 2 2 3 2 2 3" xfId="18792"/>
    <cellStyle name="40% - Accent1 2 2 3 2 2 4" xfId="24919"/>
    <cellStyle name="40% - Accent1 2 2 3 2 3" xfId="9550"/>
    <cellStyle name="40% - Accent1 2 2 3 2 4" xfId="15715"/>
    <cellStyle name="40% - Accent1 2 2 3 2 5" xfId="21843"/>
    <cellStyle name="40% - Accent1 2 2 3 3" xfId="3260"/>
    <cellStyle name="40% - Accent1 2 2 3 3 2" xfId="6394"/>
    <cellStyle name="40% - Accent1 2 2 3 3 2 2" xfId="12636"/>
    <cellStyle name="40% - Accent1 2 2 3 3 2 3" xfId="18791"/>
    <cellStyle name="40% - Accent1 2 2 3 3 2 4" xfId="24918"/>
    <cellStyle name="40% - Accent1 2 2 3 3 3" xfId="9549"/>
    <cellStyle name="40% - Accent1 2 2 3 3 4" xfId="15714"/>
    <cellStyle name="40% - Accent1 2 2 3 3 5" xfId="21842"/>
    <cellStyle name="40% - Accent1 2 2 3 4" xfId="5629"/>
    <cellStyle name="40% - Accent1 2 2 3 4 2" xfId="11871"/>
    <cellStyle name="40% - Accent1 2 2 3 4 3" xfId="18026"/>
    <cellStyle name="40% - Accent1 2 2 3 4 4" xfId="24153"/>
    <cellStyle name="40% - Accent1 2 2 3 5" xfId="8783"/>
    <cellStyle name="40% - Accent1 2 2 3 6" xfId="14440"/>
    <cellStyle name="40% - Accent1 2 2 3 7" xfId="20963"/>
    <cellStyle name="40% - Accent1 2 2 4" xfId="2149"/>
    <cellStyle name="40% - Accent1 2 2 4 2" xfId="3263"/>
    <cellStyle name="40% - Accent1 2 2 4 2 2" xfId="6397"/>
    <cellStyle name="40% - Accent1 2 2 4 2 2 2" xfId="12639"/>
    <cellStyle name="40% - Accent1 2 2 4 2 2 3" xfId="18794"/>
    <cellStyle name="40% - Accent1 2 2 4 2 2 4" xfId="24921"/>
    <cellStyle name="40% - Accent1 2 2 4 2 3" xfId="9552"/>
    <cellStyle name="40% - Accent1 2 2 4 2 4" xfId="15717"/>
    <cellStyle name="40% - Accent1 2 2 4 2 5" xfId="21845"/>
    <cellStyle name="40% - Accent1 2 2 4 3" xfId="3262"/>
    <cellStyle name="40% - Accent1 2 2 4 3 2" xfId="6396"/>
    <cellStyle name="40% - Accent1 2 2 4 3 2 2" xfId="12638"/>
    <cellStyle name="40% - Accent1 2 2 4 3 2 3" xfId="18793"/>
    <cellStyle name="40% - Accent1 2 2 4 3 2 4" xfId="24920"/>
    <cellStyle name="40% - Accent1 2 2 4 3 3" xfId="9551"/>
    <cellStyle name="40% - Accent1 2 2 4 3 4" xfId="15716"/>
    <cellStyle name="40% - Accent1 2 2 4 3 5" xfId="21844"/>
    <cellStyle name="40% - Accent1 2 2 4 4" xfId="5462"/>
    <cellStyle name="40% - Accent1 2 2 4 4 2" xfId="11704"/>
    <cellStyle name="40% - Accent1 2 2 4 4 3" xfId="17859"/>
    <cellStyle name="40% - Accent1 2 2 4 4 4" xfId="23986"/>
    <cellStyle name="40% - Accent1 2 2 4 5" xfId="8616"/>
    <cellStyle name="40% - Accent1 2 2 4 6" xfId="14441"/>
    <cellStyle name="40% - Accent1 2 2 4 7" xfId="20796"/>
    <cellStyle name="40% - Accent1 2 2 5" xfId="786"/>
    <cellStyle name="40% - Accent1 2 2 5 2" xfId="3265"/>
    <cellStyle name="40% - Accent1 2 2 5 2 2" xfId="6399"/>
    <cellStyle name="40% - Accent1 2 2 5 2 2 2" xfId="12641"/>
    <cellStyle name="40% - Accent1 2 2 5 2 2 3" xfId="18796"/>
    <cellStyle name="40% - Accent1 2 2 5 2 2 4" xfId="24923"/>
    <cellStyle name="40% - Accent1 2 2 5 2 3" xfId="9554"/>
    <cellStyle name="40% - Accent1 2 2 5 2 4" xfId="15719"/>
    <cellStyle name="40% - Accent1 2 2 5 2 5" xfId="21847"/>
    <cellStyle name="40% - Accent1 2 2 5 3" xfId="3264"/>
    <cellStyle name="40% - Accent1 2 2 5 3 2" xfId="6398"/>
    <cellStyle name="40% - Accent1 2 2 5 3 2 2" xfId="12640"/>
    <cellStyle name="40% - Accent1 2 2 5 3 2 3" xfId="18795"/>
    <cellStyle name="40% - Accent1 2 2 5 3 2 4" xfId="24922"/>
    <cellStyle name="40% - Accent1 2 2 5 3 3" xfId="9553"/>
    <cellStyle name="40% - Accent1 2 2 5 3 4" xfId="15718"/>
    <cellStyle name="40% - Accent1 2 2 5 3 5" xfId="21846"/>
    <cellStyle name="40% - Accent1 2 2 5 4" xfId="5135"/>
    <cellStyle name="40% - Accent1 2 2 5 4 2" xfId="11378"/>
    <cellStyle name="40% - Accent1 2 2 5 4 3" xfId="17533"/>
    <cellStyle name="40% - Accent1 2 2 5 4 4" xfId="23660"/>
    <cellStyle name="40% - Accent1 2 2 5 5" xfId="8292"/>
    <cellStyle name="40% - Accent1 2 2 5 6" xfId="14442"/>
    <cellStyle name="40% - Accent1 2 2 5 7" xfId="20475"/>
    <cellStyle name="40% - Accent1 2 2 6" xfId="233"/>
    <cellStyle name="40% - Accent1 2 2 6 2" xfId="3267"/>
    <cellStyle name="40% - Accent1 2 2 6 2 2" xfId="6401"/>
    <cellStyle name="40% - Accent1 2 2 6 2 2 2" xfId="12643"/>
    <cellStyle name="40% - Accent1 2 2 6 2 2 3" xfId="18798"/>
    <cellStyle name="40% - Accent1 2 2 6 2 2 4" xfId="24925"/>
    <cellStyle name="40% - Accent1 2 2 6 2 3" xfId="9556"/>
    <cellStyle name="40% - Accent1 2 2 6 2 4" xfId="15721"/>
    <cellStyle name="40% - Accent1 2 2 6 2 5" xfId="21849"/>
    <cellStyle name="40% - Accent1 2 2 6 3" xfId="3266"/>
    <cellStyle name="40% - Accent1 2 2 6 3 2" xfId="6400"/>
    <cellStyle name="40% - Accent1 2 2 6 3 2 2" xfId="12642"/>
    <cellStyle name="40% - Accent1 2 2 6 3 2 3" xfId="18797"/>
    <cellStyle name="40% - Accent1 2 2 6 3 2 4" xfId="24924"/>
    <cellStyle name="40% - Accent1 2 2 6 3 3" xfId="9555"/>
    <cellStyle name="40% - Accent1 2 2 6 3 4" xfId="15720"/>
    <cellStyle name="40% - Accent1 2 2 6 3 5" xfId="21848"/>
    <cellStyle name="40% - Accent1 2 2 6 4" xfId="5013"/>
    <cellStyle name="40% - Accent1 2 2 6 4 2" xfId="11256"/>
    <cellStyle name="40% - Accent1 2 2 6 4 3" xfId="17411"/>
    <cellStyle name="40% - Accent1 2 2 6 4 4" xfId="23538"/>
    <cellStyle name="40% - Accent1 2 2 6 5" xfId="8171"/>
    <cellStyle name="40% - Accent1 2 2 6 6" xfId="14443"/>
    <cellStyle name="40% - Accent1 2 2 6 7" xfId="21167"/>
    <cellStyle name="40% - Accent1 2 2 7" xfId="3268"/>
    <cellStyle name="40% - Accent1 2 2 7 2" xfId="6402"/>
    <cellStyle name="40% - Accent1 2 2 7 2 2" xfId="12644"/>
    <cellStyle name="40% - Accent1 2 2 7 2 3" xfId="18799"/>
    <cellStyle name="40% - Accent1 2 2 7 2 4" xfId="24926"/>
    <cellStyle name="40% - Accent1 2 2 7 3" xfId="9557"/>
    <cellStyle name="40% - Accent1 2 2 7 4" xfId="15722"/>
    <cellStyle name="40% - Accent1 2 2 7 5" xfId="21850"/>
    <cellStyle name="40% - Accent1 2 2 8" xfId="3269"/>
    <cellStyle name="40% - Accent1 2 2 8 2" xfId="6403"/>
    <cellStyle name="40% - Accent1 2 2 8 2 2" xfId="12645"/>
    <cellStyle name="40% - Accent1 2 2 8 2 3" xfId="18800"/>
    <cellStyle name="40% - Accent1 2 2 8 2 4" xfId="24927"/>
    <cellStyle name="40% - Accent1 2 2 8 3" xfId="9558"/>
    <cellStyle name="40% - Accent1 2 2 8 4" xfId="15723"/>
    <cellStyle name="40% - Accent1 2 2 8 5" xfId="21851"/>
    <cellStyle name="40% - Accent1 2 2 9" xfId="3252"/>
    <cellStyle name="40% - Accent1 2 2 9 2" xfId="6386"/>
    <cellStyle name="40% - Accent1 2 2 9 2 2" xfId="12628"/>
    <cellStyle name="40% - Accent1 2 2 9 2 3" xfId="18783"/>
    <cellStyle name="40% - Accent1 2 2 9 2 4" xfId="24910"/>
    <cellStyle name="40% - Accent1 2 2 9 3" xfId="9541"/>
    <cellStyle name="40% - Accent1 2 2 9 4" xfId="15706"/>
    <cellStyle name="40% - Accent1 2 2 9 5" xfId="21834"/>
    <cellStyle name="40% - Accent1 2 3" xfId="1030"/>
    <cellStyle name="40% - Accent1 2 3 2" xfId="2398"/>
    <cellStyle name="40% - Accent1 2 3 2 2" xfId="3271"/>
    <cellStyle name="40% - Accent1 2 3 2 2 2" xfId="6405"/>
    <cellStyle name="40% - Accent1 2 3 2 2 2 2" xfId="12647"/>
    <cellStyle name="40% - Accent1 2 3 2 2 2 3" xfId="18802"/>
    <cellStyle name="40% - Accent1 2 3 2 2 2 4" xfId="24929"/>
    <cellStyle name="40% - Accent1 2 3 2 2 3" xfId="9560"/>
    <cellStyle name="40% - Accent1 2 3 2 2 4" xfId="15725"/>
    <cellStyle name="40% - Accent1 2 3 2 2 5" xfId="21853"/>
    <cellStyle name="40% - Accent1 2 3 2 3" xfId="3270"/>
    <cellStyle name="40% - Accent1 2 3 2 3 2" xfId="6404"/>
    <cellStyle name="40% - Accent1 2 3 2 3 2 2" xfId="12646"/>
    <cellStyle name="40% - Accent1 2 3 2 3 2 3" xfId="18801"/>
    <cellStyle name="40% - Accent1 2 3 2 3 2 4" xfId="24928"/>
    <cellStyle name="40% - Accent1 2 3 2 3 3" xfId="9559"/>
    <cellStyle name="40% - Accent1 2 3 2 3 4" xfId="15724"/>
    <cellStyle name="40% - Accent1 2 3 2 3 5" xfId="21852"/>
    <cellStyle name="40% - Accent1 2 3 2 4" xfId="5711"/>
    <cellStyle name="40% - Accent1 2 3 2 4 2" xfId="11953"/>
    <cellStyle name="40% - Accent1 2 3 2 4 3" xfId="18108"/>
    <cellStyle name="40% - Accent1 2 3 2 4 4" xfId="24235"/>
    <cellStyle name="40% - Accent1 2 3 2 5" xfId="8865"/>
    <cellStyle name="40% - Accent1 2 3 2 6" xfId="14444"/>
    <cellStyle name="40% - Accent1 2 3 2 7" xfId="21045"/>
    <cellStyle name="40% - Accent1 2 3 3" xfId="2223"/>
    <cellStyle name="40% - Accent1 2 3 3 2" xfId="3273"/>
    <cellStyle name="40% - Accent1 2 3 3 2 2" xfId="6407"/>
    <cellStyle name="40% - Accent1 2 3 3 2 2 2" xfId="12649"/>
    <cellStyle name="40% - Accent1 2 3 3 2 2 3" xfId="18804"/>
    <cellStyle name="40% - Accent1 2 3 3 2 2 4" xfId="24931"/>
    <cellStyle name="40% - Accent1 2 3 3 2 3" xfId="9562"/>
    <cellStyle name="40% - Accent1 2 3 3 2 4" xfId="15727"/>
    <cellStyle name="40% - Accent1 2 3 3 2 5" xfId="21855"/>
    <cellStyle name="40% - Accent1 2 3 3 3" xfId="3272"/>
    <cellStyle name="40% - Accent1 2 3 3 3 2" xfId="6406"/>
    <cellStyle name="40% - Accent1 2 3 3 3 2 2" xfId="12648"/>
    <cellStyle name="40% - Accent1 2 3 3 3 2 3" xfId="18803"/>
    <cellStyle name="40% - Accent1 2 3 3 3 2 4" xfId="24930"/>
    <cellStyle name="40% - Accent1 2 3 3 3 3" xfId="9561"/>
    <cellStyle name="40% - Accent1 2 3 3 3 4" xfId="15726"/>
    <cellStyle name="40% - Accent1 2 3 3 3 5" xfId="21854"/>
    <cellStyle name="40% - Accent1 2 3 3 4" xfId="5536"/>
    <cellStyle name="40% - Accent1 2 3 3 4 2" xfId="11778"/>
    <cellStyle name="40% - Accent1 2 3 3 4 3" xfId="17933"/>
    <cellStyle name="40% - Accent1 2 3 3 4 4" xfId="24060"/>
    <cellStyle name="40% - Accent1 2 3 3 5" xfId="8690"/>
    <cellStyle name="40% - Accent1 2 3 3 6" xfId="14445"/>
    <cellStyle name="40% - Accent1 2 3 3 7" xfId="20870"/>
    <cellStyle name="40% - Accent1 2 3 4" xfId="2012"/>
    <cellStyle name="40% - Accent1 2 3 4 2" xfId="3275"/>
    <cellStyle name="40% - Accent1 2 3 4 2 2" xfId="6409"/>
    <cellStyle name="40% - Accent1 2 3 4 2 2 2" xfId="12651"/>
    <cellStyle name="40% - Accent1 2 3 4 2 2 3" xfId="18806"/>
    <cellStyle name="40% - Accent1 2 3 4 2 2 4" xfId="24933"/>
    <cellStyle name="40% - Accent1 2 3 4 2 3" xfId="9564"/>
    <cellStyle name="40% - Accent1 2 3 4 2 4" xfId="15729"/>
    <cellStyle name="40% - Accent1 2 3 4 2 5" xfId="21857"/>
    <cellStyle name="40% - Accent1 2 3 4 3" xfId="3274"/>
    <cellStyle name="40% - Accent1 2 3 4 3 2" xfId="6408"/>
    <cellStyle name="40% - Accent1 2 3 4 3 2 2" xfId="12650"/>
    <cellStyle name="40% - Accent1 2 3 4 3 2 3" xfId="18805"/>
    <cellStyle name="40% - Accent1 2 3 4 3 2 4" xfId="24932"/>
    <cellStyle name="40% - Accent1 2 3 4 3 3" xfId="9563"/>
    <cellStyle name="40% - Accent1 2 3 4 3 4" xfId="15728"/>
    <cellStyle name="40% - Accent1 2 3 4 3 5" xfId="21856"/>
    <cellStyle name="40% - Accent1 2 3 4 4" xfId="5354"/>
    <cellStyle name="40% - Accent1 2 3 4 4 2" xfId="11596"/>
    <cellStyle name="40% - Accent1 2 3 4 4 3" xfId="17751"/>
    <cellStyle name="40% - Accent1 2 3 4 4 4" xfId="23878"/>
    <cellStyle name="40% - Accent1 2 3 4 5" xfId="8509"/>
    <cellStyle name="40% - Accent1 2 3 4 6" xfId="14446"/>
    <cellStyle name="40% - Accent1 2 3 4 7" xfId="20689"/>
    <cellStyle name="40% - Accent1 2 3 5" xfId="3276"/>
    <cellStyle name="40% - Accent1 2 3 6" xfId="3277"/>
    <cellStyle name="40% - Accent1 2 3 6 2" xfId="6410"/>
    <cellStyle name="40% - Accent1 2 3 6 2 2" xfId="12652"/>
    <cellStyle name="40% - Accent1 2 3 6 2 3" xfId="18807"/>
    <cellStyle name="40% - Accent1 2 3 6 2 4" xfId="24934"/>
    <cellStyle name="40% - Accent1 2 3 6 3" xfId="9565"/>
    <cellStyle name="40% - Accent1 2 3 6 4" xfId="15730"/>
    <cellStyle name="40% - Accent1 2 3 6 5" xfId="21858"/>
    <cellStyle name="40% - Accent1 2 4" xfId="2315"/>
    <cellStyle name="40% - Accent1 2 4 2" xfId="3279"/>
    <cellStyle name="40% - Accent1 2 4 2 2" xfId="6412"/>
    <cellStyle name="40% - Accent1 2 4 2 2 2" xfId="12654"/>
    <cellStyle name="40% - Accent1 2 4 2 2 3" xfId="18809"/>
    <cellStyle name="40% - Accent1 2 4 2 2 4" xfId="24936"/>
    <cellStyle name="40% - Accent1 2 4 2 3" xfId="9567"/>
    <cellStyle name="40% - Accent1 2 4 2 4" xfId="15732"/>
    <cellStyle name="40% - Accent1 2 4 2 5" xfId="21860"/>
    <cellStyle name="40% - Accent1 2 4 3" xfId="3278"/>
    <cellStyle name="40% - Accent1 2 4 3 2" xfId="6411"/>
    <cellStyle name="40% - Accent1 2 4 3 2 2" xfId="12653"/>
    <cellStyle name="40% - Accent1 2 4 3 2 3" xfId="18808"/>
    <cellStyle name="40% - Accent1 2 4 3 2 4" xfId="24935"/>
    <cellStyle name="40% - Accent1 2 4 3 3" xfId="9566"/>
    <cellStyle name="40% - Accent1 2 4 3 4" xfId="15731"/>
    <cellStyle name="40% - Accent1 2 4 3 5" xfId="21859"/>
    <cellStyle name="40% - Accent1 2 4 4" xfId="5628"/>
    <cellStyle name="40% - Accent1 2 4 4 2" xfId="11870"/>
    <cellStyle name="40% - Accent1 2 4 4 3" xfId="18025"/>
    <cellStyle name="40% - Accent1 2 4 4 4" xfId="24152"/>
    <cellStyle name="40% - Accent1 2 4 5" xfId="8782"/>
    <cellStyle name="40% - Accent1 2 4 6" xfId="14447"/>
    <cellStyle name="40% - Accent1 2 4 7" xfId="20962"/>
    <cellStyle name="40% - Accent1 2 5" xfId="2148"/>
    <cellStyle name="40% - Accent1 2 5 2" xfId="3281"/>
    <cellStyle name="40% - Accent1 2 5 2 2" xfId="6414"/>
    <cellStyle name="40% - Accent1 2 5 2 2 2" xfId="12656"/>
    <cellStyle name="40% - Accent1 2 5 2 2 3" xfId="18811"/>
    <cellStyle name="40% - Accent1 2 5 2 2 4" xfId="24938"/>
    <cellStyle name="40% - Accent1 2 5 2 3" xfId="9569"/>
    <cellStyle name="40% - Accent1 2 5 2 4" xfId="15734"/>
    <cellStyle name="40% - Accent1 2 5 2 5" xfId="21862"/>
    <cellStyle name="40% - Accent1 2 5 3" xfId="3280"/>
    <cellStyle name="40% - Accent1 2 5 3 2" xfId="6413"/>
    <cellStyle name="40% - Accent1 2 5 3 2 2" xfId="12655"/>
    <cellStyle name="40% - Accent1 2 5 3 2 3" xfId="18810"/>
    <cellStyle name="40% - Accent1 2 5 3 2 4" xfId="24937"/>
    <cellStyle name="40% - Accent1 2 5 3 3" xfId="9568"/>
    <cellStyle name="40% - Accent1 2 5 3 4" xfId="15733"/>
    <cellStyle name="40% - Accent1 2 5 3 5" xfId="21861"/>
    <cellStyle name="40% - Accent1 2 5 4" xfId="5461"/>
    <cellStyle name="40% - Accent1 2 5 4 2" xfId="11703"/>
    <cellStyle name="40% - Accent1 2 5 4 3" xfId="17858"/>
    <cellStyle name="40% - Accent1 2 5 4 4" xfId="23985"/>
    <cellStyle name="40% - Accent1 2 5 5" xfId="8615"/>
    <cellStyle name="40% - Accent1 2 5 6" xfId="14448"/>
    <cellStyle name="40% - Accent1 2 5 7" xfId="20795"/>
    <cellStyle name="40% - Accent1 2 6" xfId="785"/>
    <cellStyle name="40% - Accent1 2 6 2" xfId="3283"/>
    <cellStyle name="40% - Accent1 2 6 2 2" xfId="6416"/>
    <cellStyle name="40% - Accent1 2 6 2 2 2" xfId="12658"/>
    <cellStyle name="40% - Accent1 2 6 2 2 3" xfId="18813"/>
    <cellStyle name="40% - Accent1 2 6 2 2 4" xfId="24940"/>
    <cellStyle name="40% - Accent1 2 6 2 3" xfId="9571"/>
    <cellStyle name="40% - Accent1 2 6 2 4" xfId="15736"/>
    <cellStyle name="40% - Accent1 2 6 2 5" xfId="21864"/>
    <cellStyle name="40% - Accent1 2 6 3" xfId="3282"/>
    <cellStyle name="40% - Accent1 2 6 3 2" xfId="6415"/>
    <cellStyle name="40% - Accent1 2 6 3 2 2" xfId="12657"/>
    <cellStyle name="40% - Accent1 2 6 3 2 3" xfId="18812"/>
    <cellStyle name="40% - Accent1 2 6 3 2 4" xfId="24939"/>
    <cellStyle name="40% - Accent1 2 6 3 3" xfId="9570"/>
    <cellStyle name="40% - Accent1 2 6 3 4" xfId="15735"/>
    <cellStyle name="40% - Accent1 2 6 3 5" xfId="21863"/>
    <cellStyle name="40% - Accent1 2 6 4" xfId="5134"/>
    <cellStyle name="40% - Accent1 2 6 4 2" xfId="11377"/>
    <cellStyle name="40% - Accent1 2 6 4 3" xfId="17532"/>
    <cellStyle name="40% - Accent1 2 6 4 4" xfId="23659"/>
    <cellStyle name="40% - Accent1 2 6 5" xfId="8291"/>
    <cellStyle name="40% - Accent1 2 6 6" xfId="14449"/>
    <cellStyle name="40% - Accent1 2 6 7" xfId="20474"/>
    <cellStyle name="40% - Accent1 2 7" xfId="232"/>
    <cellStyle name="40% - Accent1 2 7 2" xfId="3285"/>
    <cellStyle name="40% - Accent1 2 7 2 2" xfId="6418"/>
    <cellStyle name="40% - Accent1 2 7 2 2 2" xfId="12660"/>
    <cellStyle name="40% - Accent1 2 7 2 2 3" xfId="18815"/>
    <cellStyle name="40% - Accent1 2 7 2 2 4" xfId="24942"/>
    <cellStyle name="40% - Accent1 2 7 2 3" xfId="9573"/>
    <cellStyle name="40% - Accent1 2 7 2 4" xfId="15738"/>
    <cellStyle name="40% - Accent1 2 7 2 5" xfId="21866"/>
    <cellStyle name="40% - Accent1 2 7 3" xfId="3284"/>
    <cellStyle name="40% - Accent1 2 7 3 2" xfId="6417"/>
    <cellStyle name="40% - Accent1 2 7 3 2 2" xfId="12659"/>
    <cellStyle name="40% - Accent1 2 7 3 2 3" xfId="18814"/>
    <cellStyle name="40% - Accent1 2 7 3 2 4" xfId="24941"/>
    <cellStyle name="40% - Accent1 2 7 3 3" xfId="9572"/>
    <cellStyle name="40% - Accent1 2 7 3 4" xfId="15737"/>
    <cellStyle name="40% - Accent1 2 7 3 5" xfId="21865"/>
    <cellStyle name="40% - Accent1 2 7 4" xfId="5012"/>
    <cellStyle name="40% - Accent1 2 7 4 2" xfId="11255"/>
    <cellStyle name="40% - Accent1 2 7 4 3" xfId="17410"/>
    <cellStyle name="40% - Accent1 2 7 4 4" xfId="23537"/>
    <cellStyle name="40% - Accent1 2 7 5" xfId="8170"/>
    <cellStyle name="40% - Accent1 2 7 6" xfId="14450"/>
    <cellStyle name="40% - Accent1 2 7 7" xfId="21166"/>
    <cellStyle name="40% - Accent1 2 8" xfId="3286"/>
    <cellStyle name="40% - Accent1 2 8 2" xfId="6419"/>
    <cellStyle name="40% - Accent1 2 8 2 2" xfId="12661"/>
    <cellStyle name="40% - Accent1 2 8 2 3" xfId="18816"/>
    <cellStyle name="40% - Accent1 2 8 2 4" xfId="24943"/>
    <cellStyle name="40% - Accent1 2 8 3" xfId="9574"/>
    <cellStyle name="40% - Accent1 2 8 4" xfId="15739"/>
    <cellStyle name="40% - Accent1 2 8 5" xfId="21867"/>
    <cellStyle name="40% - Accent1 2 9" xfId="3287"/>
    <cellStyle name="40% - Accent1 2 9 2" xfId="6420"/>
    <cellStyle name="40% - Accent1 2 9 2 2" xfId="12662"/>
    <cellStyle name="40% - Accent1 2 9 2 3" xfId="18817"/>
    <cellStyle name="40% - Accent1 2 9 2 4" xfId="24944"/>
    <cellStyle name="40% - Accent1 2 9 3" xfId="9575"/>
    <cellStyle name="40% - Accent1 2 9 4" xfId="15740"/>
    <cellStyle name="40% - Accent1 2 9 5" xfId="21868"/>
    <cellStyle name="40% - Accent1 3" xfId="70"/>
    <cellStyle name="40% - Accent1 3 10" xfId="3288"/>
    <cellStyle name="40% - Accent1 3 10 2" xfId="6421"/>
    <cellStyle name="40% - Accent1 3 10 2 2" xfId="12663"/>
    <cellStyle name="40% - Accent1 3 10 2 3" xfId="18818"/>
    <cellStyle name="40% - Accent1 3 10 2 4" xfId="24945"/>
    <cellStyle name="40% - Accent1 3 10 3" xfId="9576"/>
    <cellStyle name="40% - Accent1 3 10 4" xfId="15741"/>
    <cellStyle name="40% - Accent1 3 10 5" xfId="21869"/>
    <cellStyle name="40% - Accent1 3 11" xfId="4922"/>
    <cellStyle name="40% - Accent1 3 11 2" xfId="11166"/>
    <cellStyle name="40% - Accent1 3 11 3" xfId="17321"/>
    <cellStyle name="40% - Accent1 3 11 4" xfId="23448"/>
    <cellStyle name="40% - Accent1 3 12" xfId="8080"/>
    <cellStyle name="40% - Accent1 3 13" xfId="14451"/>
    <cellStyle name="40% - Accent1 3 14" xfId="20360"/>
    <cellStyle name="40% - Accent1 3 2" xfId="71"/>
    <cellStyle name="40% - Accent1 3 2 10" xfId="4923"/>
    <cellStyle name="40% - Accent1 3 2 10 2" xfId="11167"/>
    <cellStyle name="40% - Accent1 3 2 10 3" xfId="17322"/>
    <cellStyle name="40% - Accent1 3 2 10 4" xfId="23449"/>
    <cellStyle name="40% - Accent1 3 2 11" xfId="8081"/>
    <cellStyle name="40% - Accent1 3 2 12" xfId="14452"/>
    <cellStyle name="40% - Accent1 3 2 13" xfId="20361"/>
    <cellStyle name="40% - Accent1 3 2 2" xfId="2015"/>
    <cellStyle name="40% - Accent1 3 2 2 10" xfId="20692"/>
    <cellStyle name="40% - Accent1 3 2 2 2" xfId="2401"/>
    <cellStyle name="40% - Accent1 3 2 2 2 2" xfId="3292"/>
    <cellStyle name="40% - Accent1 3 2 2 2 2 2" xfId="6425"/>
    <cellStyle name="40% - Accent1 3 2 2 2 2 2 2" xfId="12667"/>
    <cellStyle name="40% - Accent1 3 2 2 2 2 2 3" xfId="18822"/>
    <cellStyle name="40% - Accent1 3 2 2 2 2 2 4" xfId="24949"/>
    <cellStyle name="40% - Accent1 3 2 2 2 2 3" xfId="9580"/>
    <cellStyle name="40% - Accent1 3 2 2 2 2 4" xfId="15745"/>
    <cellStyle name="40% - Accent1 3 2 2 2 2 5" xfId="21873"/>
    <cellStyle name="40% - Accent1 3 2 2 2 3" xfId="3291"/>
    <cellStyle name="40% - Accent1 3 2 2 2 3 2" xfId="6424"/>
    <cellStyle name="40% - Accent1 3 2 2 2 3 2 2" xfId="12666"/>
    <cellStyle name="40% - Accent1 3 2 2 2 3 2 3" xfId="18821"/>
    <cellStyle name="40% - Accent1 3 2 2 2 3 2 4" xfId="24948"/>
    <cellStyle name="40% - Accent1 3 2 2 2 3 3" xfId="9579"/>
    <cellStyle name="40% - Accent1 3 2 2 2 3 4" xfId="15744"/>
    <cellStyle name="40% - Accent1 3 2 2 2 3 5" xfId="21872"/>
    <cellStyle name="40% - Accent1 3 2 2 2 4" xfId="5714"/>
    <cellStyle name="40% - Accent1 3 2 2 2 4 2" xfId="11956"/>
    <cellStyle name="40% - Accent1 3 2 2 2 4 3" xfId="18111"/>
    <cellStyle name="40% - Accent1 3 2 2 2 4 4" xfId="24238"/>
    <cellStyle name="40% - Accent1 3 2 2 2 5" xfId="8868"/>
    <cellStyle name="40% - Accent1 3 2 2 2 6" xfId="14454"/>
    <cellStyle name="40% - Accent1 3 2 2 2 7" xfId="21048"/>
    <cellStyle name="40% - Accent1 3 2 2 3" xfId="2226"/>
    <cellStyle name="40% - Accent1 3 2 2 3 2" xfId="3294"/>
    <cellStyle name="40% - Accent1 3 2 2 3 2 2" xfId="6427"/>
    <cellStyle name="40% - Accent1 3 2 2 3 2 2 2" xfId="12669"/>
    <cellStyle name="40% - Accent1 3 2 2 3 2 2 3" xfId="18824"/>
    <cellStyle name="40% - Accent1 3 2 2 3 2 2 4" xfId="24951"/>
    <cellStyle name="40% - Accent1 3 2 2 3 2 3" xfId="9582"/>
    <cellStyle name="40% - Accent1 3 2 2 3 2 4" xfId="15747"/>
    <cellStyle name="40% - Accent1 3 2 2 3 2 5" xfId="21875"/>
    <cellStyle name="40% - Accent1 3 2 2 3 3" xfId="3293"/>
    <cellStyle name="40% - Accent1 3 2 2 3 3 2" xfId="6426"/>
    <cellStyle name="40% - Accent1 3 2 2 3 3 2 2" xfId="12668"/>
    <cellStyle name="40% - Accent1 3 2 2 3 3 2 3" xfId="18823"/>
    <cellStyle name="40% - Accent1 3 2 2 3 3 2 4" xfId="24950"/>
    <cellStyle name="40% - Accent1 3 2 2 3 3 3" xfId="9581"/>
    <cellStyle name="40% - Accent1 3 2 2 3 3 4" xfId="15746"/>
    <cellStyle name="40% - Accent1 3 2 2 3 3 5" xfId="21874"/>
    <cellStyle name="40% - Accent1 3 2 2 3 4" xfId="5539"/>
    <cellStyle name="40% - Accent1 3 2 2 3 4 2" xfId="11781"/>
    <cellStyle name="40% - Accent1 3 2 2 3 4 3" xfId="17936"/>
    <cellStyle name="40% - Accent1 3 2 2 3 4 4" xfId="24063"/>
    <cellStyle name="40% - Accent1 3 2 2 3 5" xfId="8693"/>
    <cellStyle name="40% - Accent1 3 2 2 3 6" xfId="14455"/>
    <cellStyle name="40% - Accent1 3 2 2 3 7" xfId="20873"/>
    <cellStyle name="40% - Accent1 3 2 2 4" xfId="3295"/>
    <cellStyle name="40% - Accent1 3 2 2 4 2" xfId="6428"/>
    <cellStyle name="40% - Accent1 3 2 2 4 2 2" xfId="12670"/>
    <cellStyle name="40% - Accent1 3 2 2 4 2 3" xfId="18825"/>
    <cellStyle name="40% - Accent1 3 2 2 4 2 4" xfId="24952"/>
    <cellStyle name="40% - Accent1 3 2 2 4 3" xfId="9583"/>
    <cellStyle name="40% - Accent1 3 2 2 4 4" xfId="15748"/>
    <cellStyle name="40% - Accent1 3 2 2 4 5" xfId="21876"/>
    <cellStyle name="40% - Accent1 3 2 2 5" xfId="3296"/>
    <cellStyle name="40% - Accent1 3 2 2 5 2" xfId="6429"/>
    <cellStyle name="40% - Accent1 3 2 2 5 2 2" xfId="12671"/>
    <cellStyle name="40% - Accent1 3 2 2 5 2 3" xfId="18826"/>
    <cellStyle name="40% - Accent1 3 2 2 5 2 4" xfId="24953"/>
    <cellStyle name="40% - Accent1 3 2 2 5 3" xfId="9584"/>
    <cellStyle name="40% - Accent1 3 2 2 5 4" xfId="15749"/>
    <cellStyle name="40% - Accent1 3 2 2 5 5" xfId="21877"/>
    <cellStyle name="40% - Accent1 3 2 2 6" xfId="3290"/>
    <cellStyle name="40% - Accent1 3 2 2 6 2" xfId="6423"/>
    <cellStyle name="40% - Accent1 3 2 2 6 2 2" xfId="12665"/>
    <cellStyle name="40% - Accent1 3 2 2 6 2 3" xfId="18820"/>
    <cellStyle name="40% - Accent1 3 2 2 6 2 4" xfId="24947"/>
    <cellStyle name="40% - Accent1 3 2 2 6 3" xfId="9578"/>
    <cellStyle name="40% - Accent1 3 2 2 6 4" xfId="15743"/>
    <cellStyle name="40% - Accent1 3 2 2 6 5" xfId="21871"/>
    <cellStyle name="40% - Accent1 3 2 2 7" xfId="5357"/>
    <cellStyle name="40% - Accent1 3 2 2 7 2" xfId="11599"/>
    <cellStyle name="40% - Accent1 3 2 2 7 3" xfId="17754"/>
    <cellStyle name="40% - Accent1 3 2 2 7 4" xfId="23881"/>
    <cellStyle name="40% - Accent1 3 2 2 8" xfId="8512"/>
    <cellStyle name="40% - Accent1 3 2 2 9" xfId="14453"/>
    <cellStyle name="40% - Accent1 3 2 3" xfId="2318"/>
    <cellStyle name="40% - Accent1 3 2 3 2" xfId="3298"/>
    <cellStyle name="40% - Accent1 3 2 3 2 2" xfId="6431"/>
    <cellStyle name="40% - Accent1 3 2 3 2 2 2" xfId="12673"/>
    <cellStyle name="40% - Accent1 3 2 3 2 2 3" xfId="18828"/>
    <cellStyle name="40% - Accent1 3 2 3 2 2 4" xfId="24955"/>
    <cellStyle name="40% - Accent1 3 2 3 2 3" xfId="9586"/>
    <cellStyle name="40% - Accent1 3 2 3 2 4" xfId="15751"/>
    <cellStyle name="40% - Accent1 3 2 3 2 5" xfId="21879"/>
    <cellStyle name="40% - Accent1 3 2 3 3" xfId="3297"/>
    <cellStyle name="40% - Accent1 3 2 3 3 2" xfId="6430"/>
    <cellStyle name="40% - Accent1 3 2 3 3 2 2" xfId="12672"/>
    <cellStyle name="40% - Accent1 3 2 3 3 2 3" xfId="18827"/>
    <cellStyle name="40% - Accent1 3 2 3 3 2 4" xfId="24954"/>
    <cellStyle name="40% - Accent1 3 2 3 3 3" xfId="9585"/>
    <cellStyle name="40% - Accent1 3 2 3 3 4" xfId="15750"/>
    <cellStyle name="40% - Accent1 3 2 3 3 5" xfId="21878"/>
    <cellStyle name="40% - Accent1 3 2 3 4" xfId="5631"/>
    <cellStyle name="40% - Accent1 3 2 3 4 2" xfId="11873"/>
    <cellStyle name="40% - Accent1 3 2 3 4 3" xfId="18028"/>
    <cellStyle name="40% - Accent1 3 2 3 4 4" xfId="24155"/>
    <cellStyle name="40% - Accent1 3 2 3 5" xfId="8785"/>
    <cellStyle name="40% - Accent1 3 2 3 6" xfId="14456"/>
    <cellStyle name="40% - Accent1 3 2 3 7" xfId="20965"/>
    <cellStyle name="40% - Accent1 3 2 4" xfId="2151"/>
    <cellStyle name="40% - Accent1 3 2 4 2" xfId="3300"/>
    <cellStyle name="40% - Accent1 3 2 4 2 2" xfId="6433"/>
    <cellStyle name="40% - Accent1 3 2 4 2 2 2" xfId="12675"/>
    <cellStyle name="40% - Accent1 3 2 4 2 2 3" xfId="18830"/>
    <cellStyle name="40% - Accent1 3 2 4 2 2 4" xfId="24957"/>
    <cellStyle name="40% - Accent1 3 2 4 2 3" xfId="9588"/>
    <cellStyle name="40% - Accent1 3 2 4 2 4" xfId="15753"/>
    <cellStyle name="40% - Accent1 3 2 4 2 5" xfId="21881"/>
    <cellStyle name="40% - Accent1 3 2 4 3" xfId="3299"/>
    <cellStyle name="40% - Accent1 3 2 4 3 2" xfId="6432"/>
    <cellStyle name="40% - Accent1 3 2 4 3 2 2" xfId="12674"/>
    <cellStyle name="40% - Accent1 3 2 4 3 2 3" xfId="18829"/>
    <cellStyle name="40% - Accent1 3 2 4 3 2 4" xfId="24956"/>
    <cellStyle name="40% - Accent1 3 2 4 3 3" xfId="9587"/>
    <cellStyle name="40% - Accent1 3 2 4 3 4" xfId="15752"/>
    <cellStyle name="40% - Accent1 3 2 4 3 5" xfId="21880"/>
    <cellStyle name="40% - Accent1 3 2 4 4" xfId="5464"/>
    <cellStyle name="40% - Accent1 3 2 4 4 2" xfId="11706"/>
    <cellStyle name="40% - Accent1 3 2 4 4 3" xfId="17861"/>
    <cellStyle name="40% - Accent1 3 2 4 4 4" xfId="23988"/>
    <cellStyle name="40% - Accent1 3 2 4 5" xfId="8618"/>
    <cellStyle name="40% - Accent1 3 2 4 6" xfId="14457"/>
    <cellStyle name="40% - Accent1 3 2 4 7" xfId="20798"/>
    <cellStyle name="40% - Accent1 3 2 5" xfId="788"/>
    <cellStyle name="40% - Accent1 3 2 5 2" xfId="3302"/>
    <cellStyle name="40% - Accent1 3 2 5 2 2" xfId="6435"/>
    <cellStyle name="40% - Accent1 3 2 5 2 2 2" xfId="12677"/>
    <cellStyle name="40% - Accent1 3 2 5 2 2 3" xfId="18832"/>
    <cellStyle name="40% - Accent1 3 2 5 2 2 4" xfId="24959"/>
    <cellStyle name="40% - Accent1 3 2 5 2 3" xfId="9590"/>
    <cellStyle name="40% - Accent1 3 2 5 2 4" xfId="15755"/>
    <cellStyle name="40% - Accent1 3 2 5 2 5" xfId="21883"/>
    <cellStyle name="40% - Accent1 3 2 5 3" xfId="3301"/>
    <cellStyle name="40% - Accent1 3 2 5 3 2" xfId="6434"/>
    <cellStyle name="40% - Accent1 3 2 5 3 2 2" xfId="12676"/>
    <cellStyle name="40% - Accent1 3 2 5 3 2 3" xfId="18831"/>
    <cellStyle name="40% - Accent1 3 2 5 3 2 4" xfId="24958"/>
    <cellStyle name="40% - Accent1 3 2 5 3 3" xfId="9589"/>
    <cellStyle name="40% - Accent1 3 2 5 3 4" xfId="15754"/>
    <cellStyle name="40% - Accent1 3 2 5 3 5" xfId="21882"/>
    <cellStyle name="40% - Accent1 3 2 5 4" xfId="5137"/>
    <cellStyle name="40% - Accent1 3 2 5 4 2" xfId="11380"/>
    <cellStyle name="40% - Accent1 3 2 5 4 3" xfId="17535"/>
    <cellStyle name="40% - Accent1 3 2 5 4 4" xfId="23662"/>
    <cellStyle name="40% - Accent1 3 2 5 5" xfId="8294"/>
    <cellStyle name="40% - Accent1 3 2 5 6" xfId="14458"/>
    <cellStyle name="40% - Accent1 3 2 5 7" xfId="20477"/>
    <cellStyle name="40% - Accent1 3 2 6" xfId="235"/>
    <cellStyle name="40% - Accent1 3 2 6 2" xfId="3304"/>
    <cellStyle name="40% - Accent1 3 2 6 2 2" xfId="6437"/>
    <cellStyle name="40% - Accent1 3 2 6 2 2 2" xfId="12679"/>
    <cellStyle name="40% - Accent1 3 2 6 2 2 3" xfId="18834"/>
    <cellStyle name="40% - Accent1 3 2 6 2 2 4" xfId="24961"/>
    <cellStyle name="40% - Accent1 3 2 6 2 3" xfId="9592"/>
    <cellStyle name="40% - Accent1 3 2 6 2 4" xfId="15757"/>
    <cellStyle name="40% - Accent1 3 2 6 2 5" xfId="21885"/>
    <cellStyle name="40% - Accent1 3 2 6 3" xfId="3303"/>
    <cellStyle name="40% - Accent1 3 2 6 3 2" xfId="6436"/>
    <cellStyle name="40% - Accent1 3 2 6 3 2 2" xfId="12678"/>
    <cellStyle name="40% - Accent1 3 2 6 3 2 3" xfId="18833"/>
    <cellStyle name="40% - Accent1 3 2 6 3 2 4" xfId="24960"/>
    <cellStyle name="40% - Accent1 3 2 6 3 3" xfId="9591"/>
    <cellStyle name="40% - Accent1 3 2 6 3 4" xfId="15756"/>
    <cellStyle name="40% - Accent1 3 2 6 3 5" xfId="21884"/>
    <cellStyle name="40% - Accent1 3 2 6 4" xfId="5015"/>
    <cellStyle name="40% - Accent1 3 2 6 4 2" xfId="11258"/>
    <cellStyle name="40% - Accent1 3 2 6 4 3" xfId="17413"/>
    <cellStyle name="40% - Accent1 3 2 6 4 4" xfId="23540"/>
    <cellStyle name="40% - Accent1 3 2 6 5" xfId="8173"/>
    <cellStyle name="40% - Accent1 3 2 6 6" xfId="14459"/>
    <cellStyle name="40% - Accent1 3 2 6 7" xfId="21169"/>
    <cellStyle name="40% - Accent1 3 2 7" xfId="3305"/>
    <cellStyle name="40% - Accent1 3 2 7 2" xfId="6438"/>
    <cellStyle name="40% - Accent1 3 2 7 2 2" xfId="12680"/>
    <cellStyle name="40% - Accent1 3 2 7 2 3" xfId="18835"/>
    <cellStyle name="40% - Accent1 3 2 7 2 4" xfId="24962"/>
    <cellStyle name="40% - Accent1 3 2 7 3" xfId="9593"/>
    <cellStyle name="40% - Accent1 3 2 7 4" xfId="15758"/>
    <cellStyle name="40% - Accent1 3 2 7 5" xfId="21886"/>
    <cellStyle name="40% - Accent1 3 2 8" xfId="3306"/>
    <cellStyle name="40% - Accent1 3 2 8 2" xfId="6439"/>
    <cellStyle name="40% - Accent1 3 2 8 2 2" xfId="12681"/>
    <cellStyle name="40% - Accent1 3 2 8 2 3" xfId="18836"/>
    <cellStyle name="40% - Accent1 3 2 8 2 4" xfId="24963"/>
    <cellStyle name="40% - Accent1 3 2 8 3" xfId="9594"/>
    <cellStyle name="40% - Accent1 3 2 8 4" xfId="15759"/>
    <cellStyle name="40% - Accent1 3 2 8 5" xfId="21887"/>
    <cellStyle name="40% - Accent1 3 2 9" xfId="3289"/>
    <cellStyle name="40% - Accent1 3 2 9 2" xfId="6422"/>
    <cellStyle name="40% - Accent1 3 2 9 2 2" xfId="12664"/>
    <cellStyle name="40% - Accent1 3 2 9 2 3" xfId="18819"/>
    <cellStyle name="40% - Accent1 3 2 9 2 4" xfId="24946"/>
    <cellStyle name="40% - Accent1 3 2 9 3" xfId="9577"/>
    <cellStyle name="40% - Accent1 3 2 9 4" xfId="15742"/>
    <cellStyle name="40% - Accent1 3 2 9 5" xfId="21870"/>
    <cellStyle name="40% - Accent1 3 3" xfId="2014"/>
    <cellStyle name="40% - Accent1 3 3 10" xfId="20691"/>
    <cellStyle name="40% - Accent1 3 3 2" xfId="2400"/>
    <cellStyle name="40% - Accent1 3 3 2 2" xfId="3309"/>
    <cellStyle name="40% - Accent1 3 3 2 2 2" xfId="6442"/>
    <cellStyle name="40% - Accent1 3 3 2 2 2 2" xfId="12684"/>
    <cellStyle name="40% - Accent1 3 3 2 2 2 3" xfId="18839"/>
    <cellStyle name="40% - Accent1 3 3 2 2 2 4" xfId="24966"/>
    <cellStyle name="40% - Accent1 3 3 2 2 3" xfId="9597"/>
    <cellStyle name="40% - Accent1 3 3 2 2 4" xfId="15762"/>
    <cellStyle name="40% - Accent1 3 3 2 2 5" xfId="21890"/>
    <cellStyle name="40% - Accent1 3 3 2 3" xfId="3308"/>
    <cellStyle name="40% - Accent1 3 3 2 3 2" xfId="6441"/>
    <cellStyle name="40% - Accent1 3 3 2 3 2 2" xfId="12683"/>
    <cellStyle name="40% - Accent1 3 3 2 3 2 3" xfId="18838"/>
    <cellStyle name="40% - Accent1 3 3 2 3 2 4" xfId="24965"/>
    <cellStyle name="40% - Accent1 3 3 2 3 3" xfId="9596"/>
    <cellStyle name="40% - Accent1 3 3 2 3 4" xfId="15761"/>
    <cellStyle name="40% - Accent1 3 3 2 3 5" xfId="21889"/>
    <cellStyle name="40% - Accent1 3 3 2 4" xfId="5713"/>
    <cellStyle name="40% - Accent1 3 3 2 4 2" xfId="11955"/>
    <cellStyle name="40% - Accent1 3 3 2 4 3" xfId="18110"/>
    <cellStyle name="40% - Accent1 3 3 2 4 4" xfId="24237"/>
    <cellStyle name="40% - Accent1 3 3 2 5" xfId="8867"/>
    <cellStyle name="40% - Accent1 3 3 2 6" xfId="14461"/>
    <cellStyle name="40% - Accent1 3 3 2 7" xfId="21047"/>
    <cellStyle name="40% - Accent1 3 3 3" xfId="2225"/>
    <cellStyle name="40% - Accent1 3 3 3 2" xfId="3311"/>
    <cellStyle name="40% - Accent1 3 3 3 2 2" xfId="6444"/>
    <cellStyle name="40% - Accent1 3 3 3 2 2 2" xfId="12686"/>
    <cellStyle name="40% - Accent1 3 3 3 2 2 3" xfId="18841"/>
    <cellStyle name="40% - Accent1 3 3 3 2 2 4" xfId="24968"/>
    <cellStyle name="40% - Accent1 3 3 3 2 3" xfId="9599"/>
    <cellStyle name="40% - Accent1 3 3 3 2 4" xfId="15764"/>
    <cellStyle name="40% - Accent1 3 3 3 2 5" xfId="21892"/>
    <cellStyle name="40% - Accent1 3 3 3 3" xfId="3310"/>
    <cellStyle name="40% - Accent1 3 3 3 3 2" xfId="6443"/>
    <cellStyle name="40% - Accent1 3 3 3 3 2 2" xfId="12685"/>
    <cellStyle name="40% - Accent1 3 3 3 3 2 3" xfId="18840"/>
    <cellStyle name="40% - Accent1 3 3 3 3 2 4" xfId="24967"/>
    <cellStyle name="40% - Accent1 3 3 3 3 3" xfId="9598"/>
    <cellStyle name="40% - Accent1 3 3 3 3 4" xfId="15763"/>
    <cellStyle name="40% - Accent1 3 3 3 3 5" xfId="21891"/>
    <cellStyle name="40% - Accent1 3 3 3 4" xfId="5538"/>
    <cellStyle name="40% - Accent1 3 3 3 4 2" xfId="11780"/>
    <cellStyle name="40% - Accent1 3 3 3 4 3" xfId="17935"/>
    <cellStyle name="40% - Accent1 3 3 3 4 4" xfId="24062"/>
    <cellStyle name="40% - Accent1 3 3 3 5" xfId="8692"/>
    <cellStyle name="40% - Accent1 3 3 3 6" xfId="14462"/>
    <cellStyle name="40% - Accent1 3 3 3 7" xfId="20872"/>
    <cellStyle name="40% - Accent1 3 3 4" xfId="3312"/>
    <cellStyle name="40% - Accent1 3 3 4 2" xfId="6445"/>
    <cellStyle name="40% - Accent1 3 3 4 2 2" xfId="12687"/>
    <cellStyle name="40% - Accent1 3 3 4 2 3" xfId="18842"/>
    <cellStyle name="40% - Accent1 3 3 4 2 4" xfId="24969"/>
    <cellStyle name="40% - Accent1 3 3 4 3" xfId="9600"/>
    <cellStyle name="40% - Accent1 3 3 4 4" xfId="15765"/>
    <cellStyle name="40% - Accent1 3 3 4 5" xfId="21893"/>
    <cellStyle name="40% - Accent1 3 3 5" xfId="3313"/>
    <cellStyle name="40% - Accent1 3 3 5 2" xfId="6446"/>
    <cellStyle name="40% - Accent1 3 3 5 2 2" xfId="12688"/>
    <cellStyle name="40% - Accent1 3 3 5 2 3" xfId="18843"/>
    <cellStyle name="40% - Accent1 3 3 5 2 4" xfId="24970"/>
    <cellStyle name="40% - Accent1 3 3 5 3" xfId="9601"/>
    <cellStyle name="40% - Accent1 3 3 5 4" xfId="15766"/>
    <cellStyle name="40% - Accent1 3 3 5 5" xfId="21894"/>
    <cellStyle name="40% - Accent1 3 3 6" xfId="3307"/>
    <cellStyle name="40% - Accent1 3 3 6 2" xfId="6440"/>
    <cellStyle name="40% - Accent1 3 3 6 2 2" xfId="12682"/>
    <cellStyle name="40% - Accent1 3 3 6 2 3" xfId="18837"/>
    <cellStyle name="40% - Accent1 3 3 6 2 4" xfId="24964"/>
    <cellStyle name="40% - Accent1 3 3 6 3" xfId="9595"/>
    <cellStyle name="40% - Accent1 3 3 6 4" xfId="15760"/>
    <cellStyle name="40% - Accent1 3 3 6 5" xfId="21888"/>
    <cellStyle name="40% - Accent1 3 3 7" xfId="5356"/>
    <cellStyle name="40% - Accent1 3 3 7 2" xfId="11598"/>
    <cellStyle name="40% - Accent1 3 3 7 3" xfId="17753"/>
    <cellStyle name="40% - Accent1 3 3 7 4" xfId="23880"/>
    <cellStyle name="40% - Accent1 3 3 8" xfId="8511"/>
    <cellStyle name="40% - Accent1 3 3 9" xfId="14460"/>
    <cellStyle name="40% - Accent1 3 4" xfId="2317"/>
    <cellStyle name="40% - Accent1 3 4 2" xfId="3315"/>
    <cellStyle name="40% - Accent1 3 4 2 2" xfId="6448"/>
    <cellStyle name="40% - Accent1 3 4 2 2 2" xfId="12690"/>
    <cellStyle name="40% - Accent1 3 4 2 2 3" xfId="18845"/>
    <cellStyle name="40% - Accent1 3 4 2 2 4" xfId="24972"/>
    <cellStyle name="40% - Accent1 3 4 2 3" xfId="9603"/>
    <cellStyle name="40% - Accent1 3 4 2 4" xfId="15768"/>
    <cellStyle name="40% - Accent1 3 4 2 5" xfId="21896"/>
    <cellStyle name="40% - Accent1 3 4 3" xfId="3314"/>
    <cellStyle name="40% - Accent1 3 4 3 2" xfId="6447"/>
    <cellStyle name="40% - Accent1 3 4 3 2 2" xfId="12689"/>
    <cellStyle name="40% - Accent1 3 4 3 2 3" xfId="18844"/>
    <cellStyle name="40% - Accent1 3 4 3 2 4" xfId="24971"/>
    <cellStyle name="40% - Accent1 3 4 3 3" xfId="9602"/>
    <cellStyle name="40% - Accent1 3 4 3 4" xfId="15767"/>
    <cellStyle name="40% - Accent1 3 4 3 5" xfId="21895"/>
    <cellStyle name="40% - Accent1 3 4 4" xfId="5630"/>
    <cellStyle name="40% - Accent1 3 4 4 2" xfId="11872"/>
    <cellStyle name="40% - Accent1 3 4 4 3" xfId="18027"/>
    <cellStyle name="40% - Accent1 3 4 4 4" xfId="24154"/>
    <cellStyle name="40% - Accent1 3 4 5" xfId="8784"/>
    <cellStyle name="40% - Accent1 3 4 6" xfId="14463"/>
    <cellStyle name="40% - Accent1 3 4 7" xfId="20964"/>
    <cellStyle name="40% - Accent1 3 5" xfId="2150"/>
    <cellStyle name="40% - Accent1 3 5 2" xfId="3317"/>
    <cellStyle name="40% - Accent1 3 5 2 2" xfId="6450"/>
    <cellStyle name="40% - Accent1 3 5 2 2 2" xfId="12692"/>
    <cellStyle name="40% - Accent1 3 5 2 2 3" xfId="18847"/>
    <cellStyle name="40% - Accent1 3 5 2 2 4" xfId="24974"/>
    <cellStyle name="40% - Accent1 3 5 2 3" xfId="9605"/>
    <cellStyle name="40% - Accent1 3 5 2 4" xfId="15770"/>
    <cellStyle name="40% - Accent1 3 5 2 5" xfId="21898"/>
    <cellStyle name="40% - Accent1 3 5 3" xfId="3316"/>
    <cellStyle name="40% - Accent1 3 5 3 2" xfId="6449"/>
    <cellStyle name="40% - Accent1 3 5 3 2 2" xfId="12691"/>
    <cellStyle name="40% - Accent1 3 5 3 2 3" xfId="18846"/>
    <cellStyle name="40% - Accent1 3 5 3 2 4" xfId="24973"/>
    <cellStyle name="40% - Accent1 3 5 3 3" xfId="9604"/>
    <cellStyle name="40% - Accent1 3 5 3 4" xfId="15769"/>
    <cellStyle name="40% - Accent1 3 5 3 5" xfId="21897"/>
    <cellStyle name="40% - Accent1 3 5 4" xfId="5463"/>
    <cellStyle name="40% - Accent1 3 5 4 2" xfId="11705"/>
    <cellStyle name="40% - Accent1 3 5 4 3" xfId="17860"/>
    <cellStyle name="40% - Accent1 3 5 4 4" xfId="23987"/>
    <cellStyle name="40% - Accent1 3 5 5" xfId="8617"/>
    <cellStyle name="40% - Accent1 3 5 6" xfId="14464"/>
    <cellStyle name="40% - Accent1 3 5 7" xfId="20797"/>
    <cellStyle name="40% - Accent1 3 6" xfId="787"/>
    <cellStyle name="40% - Accent1 3 6 2" xfId="3319"/>
    <cellStyle name="40% - Accent1 3 6 2 2" xfId="6452"/>
    <cellStyle name="40% - Accent1 3 6 2 2 2" xfId="12694"/>
    <cellStyle name="40% - Accent1 3 6 2 2 3" xfId="18849"/>
    <cellStyle name="40% - Accent1 3 6 2 2 4" xfId="24976"/>
    <cellStyle name="40% - Accent1 3 6 2 3" xfId="9607"/>
    <cellStyle name="40% - Accent1 3 6 2 4" xfId="15772"/>
    <cellStyle name="40% - Accent1 3 6 2 5" xfId="21900"/>
    <cellStyle name="40% - Accent1 3 6 3" xfId="3318"/>
    <cellStyle name="40% - Accent1 3 6 3 2" xfId="6451"/>
    <cellStyle name="40% - Accent1 3 6 3 2 2" xfId="12693"/>
    <cellStyle name="40% - Accent1 3 6 3 2 3" xfId="18848"/>
    <cellStyle name="40% - Accent1 3 6 3 2 4" xfId="24975"/>
    <cellStyle name="40% - Accent1 3 6 3 3" xfId="9606"/>
    <cellStyle name="40% - Accent1 3 6 3 4" xfId="15771"/>
    <cellStyle name="40% - Accent1 3 6 3 5" xfId="21899"/>
    <cellStyle name="40% - Accent1 3 6 4" xfId="5136"/>
    <cellStyle name="40% - Accent1 3 6 4 2" xfId="11379"/>
    <cellStyle name="40% - Accent1 3 6 4 3" xfId="17534"/>
    <cellStyle name="40% - Accent1 3 6 4 4" xfId="23661"/>
    <cellStyle name="40% - Accent1 3 6 5" xfId="8293"/>
    <cellStyle name="40% - Accent1 3 6 6" xfId="14465"/>
    <cellStyle name="40% - Accent1 3 6 7" xfId="20476"/>
    <cellStyle name="40% - Accent1 3 7" xfId="234"/>
    <cellStyle name="40% - Accent1 3 7 2" xfId="3321"/>
    <cellStyle name="40% - Accent1 3 7 2 2" xfId="6454"/>
    <cellStyle name="40% - Accent1 3 7 2 2 2" xfId="12696"/>
    <cellStyle name="40% - Accent1 3 7 2 2 3" xfId="18851"/>
    <cellStyle name="40% - Accent1 3 7 2 2 4" xfId="24978"/>
    <cellStyle name="40% - Accent1 3 7 2 3" xfId="9609"/>
    <cellStyle name="40% - Accent1 3 7 2 4" xfId="15774"/>
    <cellStyle name="40% - Accent1 3 7 2 5" xfId="21902"/>
    <cellStyle name="40% - Accent1 3 7 3" xfId="3320"/>
    <cellStyle name="40% - Accent1 3 7 3 2" xfId="6453"/>
    <cellStyle name="40% - Accent1 3 7 3 2 2" xfId="12695"/>
    <cellStyle name="40% - Accent1 3 7 3 2 3" xfId="18850"/>
    <cellStyle name="40% - Accent1 3 7 3 2 4" xfId="24977"/>
    <cellStyle name="40% - Accent1 3 7 3 3" xfId="9608"/>
    <cellStyle name="40% - Accent1 3 7 3 4" xfId="15773"/>
    <cellStyle name="40% - Accent1 3 7 3 5" xfId="21901"/>
    <cellStyle name="40% - Accent1 3 7 4" xfId="5014"/>
    <cellStyle name="40% - Accent1 3 7 4 2" xfId="11257"/>
    <cellStyle name="40% - Accent1 3 7 4 3" xfId="17412"/>
    <cellStyle name="40% - Accent1 3 7 4 4" xfId="23539"/>
    <cellStyle name="40% - Accent1 3 7 5" xfId="8172"/>
    <cellStyle name="40% - Accent1 3 7 6" xfId="14466"/>
    <cellStyle name="40% - Accent1 3 7 7" xfId="21168"/>
    <cellStyle name="40% - Accent1 3 8" xfId="3322"/>
    <cellStyle name="40% - Accent1 3 8 2" xfId="6455"/>
    <cellStyle name="40% - Accent1 3 8 2 2" xfId="12697"/>
    <cellStyle name="40% - Accent1 3 8 2 3" xfId="18852"/>
    <cellStyle name="40% - Accent1 3 8 2 4" xfId="24979"/>
    <cellStyle name="40% - Accent1 3 8 3" xfId="9610"/>
    <cellStyle name="40% - Accent1 3 8 4" xfId="15775"/>
    <cellStyle name="40% - Accent1 3 8 5" xfId="21903"/>
    <cellStyle name="40% - Accent1 3 9" xfId="3323"/>
    <cellStyle name="40% - Accent1 3 9 2" xfId="6456"/>
    <cellStyle name="40% - Accent1 3 9 2 2" xfId="12698"/>
    <cellStyle name="40% - Accent1 3 9 2 3" xfId="18853"/>
    <cellStyle name="40% - Accent1 3 9 2 4" xfId="24980"/>
    <cellStyle name="40% - Accent1 3 9 3" xfId="9611"/>
    <cellStyle name="40% - Accent1 3 9 4" xfId="15776"/>
    <cellStyle name="40% - Accent1 3 9 5" xfId="21904"/>
    <cellStyle name="40% - Accent1 4" xfId="72"/>
    <cellStyle name="40% - Accent1 4 2" xfId="73"/>
    <cellStyle name="40% - Accent1 4 2 10" xfId="4924"/>
    <cellStyle name="40% - Accent1 4 2 10 2" xfId="11168"/>
    <cellStyle name="40% - Accent1 4 2 10 3" xfId="17323"/>
    <cellStyle name="40% - Accent1 4 2 10 4" xfId="23450"/>
    <cellStyle name="40% - Accent1 4 2 11" xfId="8082"/>
    <cellStyle name="40% - Accent1 4 2 12" xfId="14467"/>
    <cellStyle name="40% - Accent1 4 2 13" xfId="20362"/>
    <cellStyle name="40% - Accent1 4 2 2" xfId="2016"/>
    <cellStyle name="40% - Accent1 4 2 2 10" xfId="20693"/>
    <cellStyle name="40% - Accent1 4 2 2 2" xfId="2402"/>
    <cellStyle name="40% - Accent1 4 2 2 2 2" xfId="3327"/>
    <cellStyle name="40% - Accent1 4 2 2 2 2 2" xfId="6460"/>
    <cellStyle name="40% - Accent1 4 2 2 2 2 2 2" xfId="12702"/>
    <cellStyle name="40% - Accent1 4 2 2 2 2 2 3" xfId="18857"/>
    <cellStyle name="40% - Accent1 4 2 2 2 2 2 4" xfId="24984"/>
    <cellStyle name="40% - Accent1 4 2 2 2 2 3" xfId="9615"/>
    <cellStyle name="40% - Accent1 4 2 2 2 2 4" xfId="15780"/>
    <cellStyle name="40% - Accent1 4 2 2 2 2 5" xfId="21908"/>
    <cellStyle name="40% - Accent1 4 2 2 2 3" xfId="3326"/>
    <cellStyle name="40% - Accent1 4 2 2 2 3 2" xfId="6459"/>
    <cellStyle name="40% - Accent1 4 2 2 2 3 2 2" xfId="12701"/>
    <cellStyle name="40% - Accent1 4 2 2 2 3 2 3" xfId="18856"/>
    <cellStyle name="40% - Accent1 4 2 2 2 3 2 4" xfId="24983"/>
    <cellStyle name="40% - Accent1 4 2 2 2 3 3" xfId="9614"/>
    <cellStyle name="40% - Accent1 4 2 2 2 3 4" xfId="15779"/>
    <cellStyle name="40% - Accent1 4 2 2 2 3 5" xfId="21907"/>
    <cellStyle name="40% - Accent1 4 2 2 2 4" xfId="5715"/>
    <cellStyle name="40% - Accent1 4 2 2 2 4 2" xfId="11957"/>
    <cellStyle name="40% - Accent1 4 2 2 2 4 3" xfId="18112"/>
    <cellStyle name="40% - Accent1 4 2 2 2 4 4" xfId="24239"/>
    <cellStyle name="40% - Accent1 4 2 2 2 5" xfId="8869"/>
    <cellStyle name="40% - Accent1 4 2 2 2 6" xfId="14469"/>
    <cellStyle name="40% - Accent1 4 2 2 2 7" xfId="21049"/>
    <cellStyle name="40% - Accent1 4 2 2 3" xfId="2227"/>
    <cellStyle name="40% - Accent1 4 2 2 3 2" xfId="3329"/>
    <cellStyle name="40% - Accent1 4 2 2 3 2 2" xfId="6462"/>
    <cellStyle name="40% - Accent1 4 2 2 3 2 2 2" xfId="12704"/>
    <cellStyle name="40% - Accent1 4 2 2 3 2 2 3" xfId="18859"/>
    <cellStyle name="40% - Accent1 4 2 2 3 2 2 4" xfId="24986"/>
    <cellStyle name="40% - Accent1 4 2 2 3 2 3" xfId="9617"/>
    <cellStyle name="40% - Accent1 4 2 2 3 2 4" xfId="15782"/>
    <cellStyle name="40% - Accent1 4 2 2 3 2 5" xfId="21910"/>
    <cellStyle name="40% - Accent1 4 2 2 3 3" xfId="3328"/>
    <cellStyle name="40% - Accent1 4 2 2 3 3 2" xfId="6461"/>
    <cellStyle name="40% - Accent1 4 2 2 3 3 2 2" xfId="12703"/>
    <cellStyle name="40% - Accent1 4 2 2 3 3 2 3" xfId="18858"/>
    <cellStyle name="40% - Accent1 4 2 2 3 3 2 4" xfId="24985"/>
    <cellStyle name="40% - Accent1 4 2 2 3 3 3" xfId="9616"/>
    <cellStyle name="40% - Accent1 4 2 2 3 3 4" xfId="15781"/>
    <cellStyle name="40% - Accent1 4 2 2 3 3 5" xfId="21909"/>
    <cellStyle name="40% - Accent1 4 2 2 3 4" xfId="5540"/>
    <cellStyle name="40% - Accent1 4 2 2 3 4 2" xfId="11782"/>
    <cellStyle name="40% - Accent1 4 2 2 3 4 3" xfId="17937"/>
    <cellStyle name="40% - Accent1 4 2 2 3 4 4" xfId="24064"/>
    <cellStyle name="40% - Accent1 4 2 2 3 5" xfId="8694"/>
    <cellStyle name="40% - Accent1 4 2 2 3 6" xfId="14470"/>
    <cellStyle name="40% - Accent1 4 2 2 3 7" xfId="20874"/>
    <cellStyle name="40% - Accent1 4 2 2 4" xfId="3330"/>
    <cellStyle name="40% - Accent1 4 2 2 4 2" xfId="6463"/>
    <cellStyle name="40% - Accent1 4 2 2 4 2 2" xfId="12705"/>
    <cellStyle name="40% - Accent1 4 2 2 4 2 3" xfId="18860"/>
    <cellStyle name="40% - Accent1 4 2 2 4 2 4" xfId="24987"/>
    <cellStyle name="40% - Accent1 4 2 2 4 3" xfId="9618"/>
    <cellStyle name="40% - Accent1 4 2 2 4 4" xfId="15783"/>
    <cellStyle name="40% - Accent1 4 2 2 4 5" xfId="21911"/>
    <cellStyle name="40% - Accent1 4 2 2 5" xfId="3331"/>
    <cellStyle name="40% - Accent1 4 2 2 5 2" xfId="6464"/>
    <cellStyle name="40% - Accent1 4 2 2 5 2 2" xfId="12706"/>
    <cellStyle name="40% - Accent1 4 2 2 5 2 3" xfId="18861"/>
    <cellStyle name="40% - Accent1 4 2 2 5 2 4" xfId="24988"/>
    <cellStyle name="40% - Accent1 4 2 2 5 3" xfId="9619"/>
    <cellStyle name="40% - Accent1 4 2 2 5 4" xfId="15784"/>
    <cellStyle name="40% - Accent1 4 2 2 5 5" xfId="21912"/>
    <cellStyle name="40% - Accent1 4 2 2 6" xfId="3325"/>
    <cellStyle name="40% - Accent1 4 2 2 6 2" xfId="6458"/>
    <cellStyle name="40% - Accent1 4 2 2 6 2 2" xfId="12700"/>
    <cellStyle name="40% - Accent1 4 2 2 6 2 3" xfId="18855"/>
    <cellStyle name="40% - Accent1 4 2 2 6 2 4" xfId="24982"/>
    <cellStyle name="40% - Accent1 4 2 2 6 3" xfId="9613"/>
    <cellStyle name="40% - Accent1 4 2 2 6 4" xfId="15778"/>
    <cellStyle name="40% - Accent1 4 2 2 6 5" xfId="21906"/>
    <cellStyle name="40% - Accent1 4 2 2 7" xfId="5358"/>
    <cellStyle name="40% - Accent1 4 2 2 7 2" xfId="11600"/>
    <cellStyle name="40% - Accent1 4 2 2 7 3" xfId="17755"/>
    <cellStyle name="40% - Accent1 4 2 2 7 4" xfId="23882"/>
    <cellStyle name="40% - Accent1 4 2 2 8" xfId="8513"/>
    <cellStyle name="40% - Accent1 4 2 2 9" xfId="14468"/>
    <cellStyle name="40% - Accent1 4 2 3" xfId="2319"/>
    <cellStyle name="40% - Accent1 4 2 3 2" xfId="3333"/>
    <cellStyle name="40% - Accent1 4 2 3 2 2" xfId="6466"/>
    <cellStyle name="40% - Accent1 4 2 3 2 2 2" xfId="12708"/>
    <cellStyle name="40% - Accent1 4 2 3 2 2 3" xfId="18863"/>
    <cellStyle name="40% - Accent1 4 2 3 2 2 4" xfId="24990"/>
    <cellStyle name="40% - Accent1 4 2 3 2 3" xfId="9621"/>
    <cellStyle name="40% - Accent1 4 2 3 2 4" xfId="15786"/>
    <cellStyle name="40% - Accent1 4 2 3 2 5" xfId="21914"/>
    <cellStyle name="40% - Accent1 4 2 3 3" xfId="3332"/>
    <cellStyle name="40% - Accent1 4 2 3 3 2" xfId="6465"/>
    <cellStyle name="40% - Accent1 4 2 3 3 2 2" xfId="12707"/>
    <cellStyle name="40% - Accent1 4 2 3 3 2 3" xfId="18862"/>
    <cellStyle name="40% - Accent1 4 2 3 3 2 4" xfId="24989"/>
    <cellStyle name="40% - Accent1 4 2 3 3 3" xfId="9620"/>
    <cellStyle name="40% - Accent1 4 2 3 3 4" xfId="15785"/>
    <cellStyle name="40% - Accent1 4 2 3 3 5" xfId="21913"/>
    <cellStyle name="40% - Accent1 4 2 3 4" xfId="5632"/>
    <cellStyle name="40% - Accent1 4 2 3 4 2" xfId="11874"/>
    <cellStyle name="40% - Accent1 4 2 3 4 3" xfId="18029"/>
    <cellStyle name="40% - Accent1 4 2 3 4 4" xfId="24156"/>
    <cellStyle name="40% - Accent1 4 2 3 5" xfId="8786"/>
    <cellStyle name="40% - Accent1 4 2 3 6" xfId="14471"/>
    <cellStyle name="40% - Accent1 4 2 3 7" xfId="20966"/>
    <cellStyle name="40% - Accent1 4 2 4" xfId="2152"/>
    <cellStyle name="40% - Accent1 4 2 4 2" xfId="3335"/>
    <cellStyle name="40% - Accent1 4 2 4 2 2" xfId="6468"/>
    <cellStyle name="40% - Accent1 4 2 4 2 2 2" xfId="12710"/>
    <cellStyle name="40% - Accent1 4 2 4 2 2 3" xfId="18865"/>
    <cellStyle name="40% - Accent1 4 2 4 2 2 4" xfId="24992"/>
    <cellStyle name="40% - Accent1 4 2 4 2 3" xfId="9623"/>
    <cellStyle name="40% - Accent1 4 2 4 2 4" xfId="15788"/>
    <cellStyle name="40% - Accent1 4 2 4 2 5" xfId="21916"/>
    <cellStyle name="40% - Accent1 4 2 4 3" xfId="3334"/>
    <cellStyle name="40% - Accent1 4 2 4 3 2" xfId="6467"/>
    <cellStyle name="40% - Accent1 4 2 4 3 2 2" xfId="12709"/>
    <cellStyle name="40% - Accent1 4 2 4 3 2 3" xfId="18864"/>
    <cellStyle name="40% - Accent1 4 2 4 3 2 4" xfId="24991"/>
    <cellStyle name="40% - Accent1 4 2 4 3 3" xfId="9622"/>
    <cellStyle name="40% - Accent1 4 2 4 3 4" xfId="15787"/>
    <cellStyle name="40% - Accent1 4 2 4 3 5" xfId="21915"/>
    <cellStyle name="40% - Accent1 4 2 4 4" xfId="5465"/>
    <cellStyle name="40% - Accent1 4 2 4 4 2" xfId="11707"/>
    <cellStyle name="40% - Accent1 4 2 4 4 3" xfId="17862"/>
    <cellStyle name="40% - Accent1 4 2 4 4 4" xfId="23989"/>
    <cellStyle name="40% - Accent1 4 2 4 5" xfId="8619"/>
    <cellStyle name="40% - Accent1 4 2 4 6" xfId="14472"/>
    <cellStyle name="40% - Accent1 4 2 4 7" xfId="20799"/>
    <cellStyle name="40% - Accent1 4 2 5" xfId="789"/>
    <cellStyle name="40% - Accent1 4 2 5 2" xfId="3337"/>
    <cellStyle name="40% - Accent1 4 2 5 2 2" xfId="6470"/>
    <cellStyle name="40% - Accent1 4 2 5 2 2 2" xfId="12712"/>
    <cellStyle name="40% - Accent1 4 2 5 2 2 3" xfId="18867"/>
    <cellStyle name="40% - Accent1 4 2 5 2 2 4" xfId="24994"/>
    <cellStyle name="40% - Accent1 4 2 5 2 3" xfId="9625"/>
    <cellStyle name="40% - Accent1 4 2 5 2 4" xfId="15790"/>
    <cellStyle name="40% - Accent1 4 2 5 2 5" xfId="21918"/>
    <cellStyle name="40% - Accent1 4 2 5 3" xfId="3336"/>
    <cellStyle name="40% - Accent1 4 2 5 3 2" xfId="6469"/>
    <cellStyle name="40% - Accent1 4 2 5 3 2 2" xfId="12711"/>
    <cellStyle name="40% - Accent1 4 2 5 3 2 3" xfId="18866"/>
    <cellStyle name="40% - Accent1 4 2 5 3 2 4" xfId="24993"/>
    <cellStyle name="40% - Accent1 4 2 5 3 3" xfId="9624"/>
    <cellStyle name="40% - Accent1 4 2 5 3 4" xfId="15789"/>
    <cellStyle name="40% - Accent1 4 2 5 3 5" xfId="21917"/>
    <cellStyle name="40% - Accent1 4 2 5 4" xfId="5138"/>
    <cellStyle name="40% - Accent1 4 2 5 4 2" xfId="11381"/>
    <cellStyle name="40% - Accent1 4 2 5 4 3" xfId="17536"/>
    <cellStyle name="40% - Accent1 4 2 5 4 4" xfId="23663"/>
    <cellStyle name="40% - Accent1 4 2 5 5" xfId="8295"/>
    <cellStyle name="40% - Accent1 4 2 5 6" xfId="14473"/>
    <cellStyle name="40% - Accent1 4 2 5 7" xfId="20478"/>
    <cellStyle name="40% - Accent1 4 2 6" xfId="236"/>
    <cellStyle name="40% - Accent1 4 2 6 2" xfId="3339"/>
    <cellStyle name="40% - Accent1 4 2 6 2 2" xfId="6472"/>
    <cellStyle name="40% - Accent1 4 2 6 2 2 2" xfId="12714"/>
    <cellStyle name="40% - Accent1 4 2 6 2 2 3" xfId="18869"/>
    <cellStyle name="40% - Accent1 4 2 6 2 2 4" xfId="24996"/>
    <cellStyle name="40% - Accent1 4 2 6 2 3" xfId="9627"/>
    <cellStyle name="40% - Accent1 4 2 6 2 4" xfId="15792"/>
    <cellStyle name="40% - Accent1 4 2 6 2 5" xfId="21920"/>
    <cellStyle name="40% - Accent1 4 2 6 3" xfId="3338"/>
    <cellStyle name="40% - Accent1 4 2 6 3 2" xfId="6471"/>
    <cellStyle name="40% - Accent1 4 2 6 3 2 2" xfId="12713"/>
    <cellStyle name="40% - Accent1 4 2 6 3 2 3" xfId="18868"/>
    <cellStyle name="40% - Accent1 4 2 6 3 2 4" xfId="24995"/>
    <cellStyle name="40% - Accent1 4 2 6 3 3" xfId="9626"/>
    <cellStyle name="40% - Accent1 4 2 6 3 4" xfId="15791"/>
    <cellStyle name="40% - Accent1 4 2 6 3 5" xfId="21919"/>
    <cellStyle name="40% - Accent1 4 2 6 4" xfId="5016"/>
    <cellStyle name="40% - Accent1 4 2 6 4 2" xfId="11259"/>
    <cellStyle name="40% - Accent1 4 2 6 4 3" xfId="17414"/>
    <cellStyle name="40% - Accent1 4 2 6 4 4" xfId="23541"/>
    <cellStyle name="40% - Accent1 4 2 6 5" xfId="8174"/>
    <cellStyle name="40% - Accent1 4 2 6 6" xfId="14474"/>
    <cellStyle name="40% - Accent1 4 2 6 7" xfId="21170"/>
    <cellStyle name="40% - Accent1 4 2 7" xfId="3340"/>
    <cellStyle name="40% - Accent1 4 2 7 2" xfId="6473"/>
    <cellStyle name="40% - Accent1 4 2 7 2 2" xfId="12715"/>
    <cellStyle name="40% - Accent1 4 2 7 2 3" xfId="18870"/>
    <cellStyle name="40% - Accent1 4 2 7 2 4" xfId="24997"/>
    <cellStyle name="40% - Accent1 4 2 7 3" xfId="9628"/>
    <cellStyle name="40% - Accent1 4 2 7 4" xfId="15793"/>
    <cellStyle name="40% - Accent1 4 2 7 5" xfId="21921"/>
    <cellStyle name="40% - Accent1 4 2 8" xfId="3341"/>
    <cellStyle name="40% - Accent1 4 2 8 2" xfId="6474"/>
    <cellStyle name="40% - Accent1 4 2 8 2 2" xfId="12716"/>
    <cellStyle name="40% - Accent1 4 2 8 2 3" xfId="18871"/>
    <cellStyle name="40% - Accent1 4 2 8 2 4" xfId="24998"/>
    <cellStyle name="40% - Accent1 4 2 8 3" xfId="9629"/>
    <cellStyle name="40% - Accent1 4 2 8 4" xfId="15794"/>
    <cellStyle name="40% - Accent1 4 2 8 5" xfId="21922"/>
    <cellStyle name="40% - Accent1 4 2 9" xfId="3324"/>
    <cellStyle name="40% - Accent1 4 2 9 2" xfId="6457"/>
    <cellStyle name="40% - Accent1 4 2 9 2 2" xfId="12699"/>
    <cellStyle name="40% - Accent1 4 2 9 2 3" xfId="18854"/>
    <cellStyle name="40% - Accent1 4 2 9 2 4" xfId="24981"/>
    <cellStyle name="40% - Accent1 4 2 9 3" xfId="9612"/>
    <cellStyle name="40% - Accent1 4 2 9 4" xfId="15777"/>
    <cellStyle name="40% - Accent1 4 2 9 5" xfId="21905"/>
    <cellStyle name="40% - Accent1 5" xfId="468"/>
    <cellStyle name="40% - Accent1 5 2" xfId="3343"/>
    <cellStyle name="40% - Accent1 5 2 2" xfId="6476"/>
    <cellStyle name="40% - Accent1 5 2 2 2" xfId="12718"/>
    <cellStyle name="40% - Accent1 5 2 2 3" xfId="18873"/>
    <cellStyle name="40% - Accent1 5 2 2 4" xfId="25000"/>
    <cellStyle name="40% - Accent1 5 2 3" xfId="9631"/>
    <cellStyle name="40% - Accent1 5 2 4" xfId="15796"/>
    <cellStyle name="40% - Accent1 5 2 5" xfId="21924"/>
    <cellStyle name="40% - Accent1 5 3" xfId="3344"/>
    <cellStyle name="40% - Accent1 5 3 2" xfId="6477"/>
    <cellStyle name="40% - Accent1 5 3 2 2" xfId="12719"/>
    <cellStyle name="40% - Accent1 5 3 2 3" xfId="18874"/>
    <cellStyle name="40% - Accent1 5 3 2 4" xfId="25001"/>
    <cellStyle name="40% - Accent1 5 3 3" xfId="9632"/>
    <cellStyle name="40% - Accent1 5 3 4" xfId="15797"/>
    <cellStyle name="40% - Accent1 5 3 5" xfId="21925"/>
    <cellStyle name="40% - Accent1 5 4" xfId="3342"/>
    <cellStyle name="40% - Accent1 5 4 2" xfId="6475"/>
    <cellStyle name="40% - Accent1 5 4 2 2" xfId="12717"/>
    <cellStyle name="40% - Accent1 5 4 2 3" xfId="18872"/>
    <cellStyle name="40% - Accent1 5 4 2 4" xfId="24999"/>
    <cellStyle name="40% - Accent1 5 4 3" xfId="9630"/>
    <cellStyle name="40% - Accent1 5 4 4" xfId="15795"/>
    <cellStyle name="40% - Accent1 5 4 5" xfId="21923"/>
    <cellStyle name="40% - Accent1 5 5" xfId="5086"/>
    <cellStyle name="40% - Accent1 5 5 2" xfId="11329"/>
    <cellStyle name="40% - Accent1 5 5 3" xfId="17484"/>
    <cellStyle name="40% - Accent1 5 5 4" xfId="23611"/>
    <cellStyle name="40% - Accent1 5 6" xfId="8245"/>
    <cellStyle name="40% - Accent1 5 7" xfId="14475"/>
    <cellStyle name="40% - Accent1 5 8" xfId="20431"/>
    <cellStyle name="40% - Accent1 6" xfId="194"/>
    <cellStyle name="40% - Accent1 6 2" xfId="3346"/>
    <cellStyle name="40% - Accent1 6 2 2" xfId="6479"/>
    <cellStyle name="40% - Accent1 6 2 2 2" xfId="12721"/>
    <cellStyle name="40% - Accent1 6 2 2 3" xfId="18876"/>
    <cellStyle name="40% - Accent1 6 2 2 4" xfId="25003"/>
    <cellStyle name="40% - Accent1 6 2 3" xfId="9634"/>
    <cellStyle name="40% - Accent1 6 2 4" xfId="15799"/>
    <cellStyle name="40% - Accent1 6 2 5" xfId="21927"/>
    <cellStyle name="40% - Accent1 6 3" xfId="3345"/>
    <cellStyle name="40% - Accent1 6 3 2" xfId="6478"/>
    <cellStyle name="40% - Accent1 6 3 2 2" xfId="12720"/>
    <cellStyle name="40% - Accent1 6 3 2 3" xfId="18875"/>
    <cellStyle name="40% - Accent1 6 3 2 4" xfId="25002"/>
    <cellStyle name="40% - Accent1 6 3 3" xfId="9633"/>
    <cellStyle name="40% - Accent1 6 3 4" xfId="15798"/>
    <cellStyle name="40% - Accent1 6 3 5" xfId="21926"/>
    <cellStyle name="40% - Accent1 6 4" xfId="4975"/>
    <cellStyle name="40% - Accent1 6 4 2" xfId="11218"/>
    <cellStyle name="40% - Accent1 6 4 3" xfId="17373"/>
    <cellStyle name="40% - Accent1 6 4 4" xfId="23500"/>
    <cellStyle name="40% - Accent1 6 5" xfId="8133"/>
    <cellStyle name="40% - Accent1 6 6" xfId="15098"/>
    <cellStyle name="40% - Accent1 6 7" xfId="21226"/>
    <cellStyle name="40% - Accent1 7" xfId="3347"/>
    <cellStyle name="40% - Accent1 7 2" xfId="6480"/>
    <cellStyle name="40% - Accent1 7 2 2" xfId="12722"/>
    <cellStyle name="40% - Accent1 7 2 3" xfId="18877"/>
    <cellStyle name="40% - Accent1 7 2 4" xfId="25004"/>
    <cellStyle name="40% - Accent1 7 3" xfId="9635"/>
    <cellStyle name="40% - Accent1 7 4" xfId="15800"/>
    <cellStyle name="40% - Accent1 7 5" xfId="21928"/>
    <cellStyle name="40% - Accent1 8" xfId="4851"/>
    <cellStyle name="40% - Accent1 8 2" xfId="7896"/>
    <cellStyle name="40% - Accent1 8 2 2" xfId="14138"/>
    <cellStyle name="40% - Accent1 8 2 3" xfId="20293"/>
    <cellStyle name="40% - Accent1 8 2 4" xfId="26420"/>
    <cellStyle name="40% - Accent1 8 3" xfId="11107"/>
    <cellStyle name="40% - Accent1 8 4" xfId="17262"/>
    <cellStyle name="40% - Accent1 8 5" xfId="23389"/>
    <cellStyle name="40% - Accent1 9" xfId="4877"/>
    <cellStyle name="40% - Accent1 9 2" xfId="11123"/>
    <cellStyle name="40% - Accent1 9 3" xfId="17278"/>
    <cellStyle name="40% - Accent1 9 4" xfId="23405"/>
    <cellStyle name="40% - Accent2 10" xfId="15068"/>
    <cellStyle name="40% - Accent2 11" xfId="20322"/>
    <cellStyle name="40% - Accent2 2" xfId="74"/>
    <cellStyle name="40% - Accent2 2 10" xfId="3348"/>
    <cellStyle name="40% - Accent2 2 10 2" xfId="6481"/>
    <cellStyle name="40% - Accent2 2 10 2 2" xfId="12723"/>
    <cellStyle name="40% - Accent2 2 10 2 3" xfId="18878"/>
    <cellStyle name="40% - Accent2 2 10 2 4" xfId="25005"/>
    <cellStyle name="40% - Accent2 2 10 3" xfId="9636"/>
    <cellStyle name="40% - Accent2 2 10 4" xfId="15801"/>
    <cellStyle name="40% - Accent2 2 10 5" xfId="21929"/>
    <cellStyle name="40% - Accent2 2 11" xfId="4925"/>
    <cellStyle name="40% - Accent2 2 11 2" xfId="11169"/>
    <cellStyle name="40% - Accent2 2 11 3" xfId="17324"/>
    <cellStyle name="40% - Accent2 2 11 4" xfId="23451"/>
    <cellStyle name="40% - Accent2 2 12" xfId="8083"/>
    <cellStyle name="40% - Accent2 2 13" xfId="14476"/>
    <cellStyle name="40% - Accent2 2 14" xfId="20363"/>
    <cellStyle name="40% - Accent2 2 2" xfId="75"/>
    <cellStyle name="40% - Accent2 2 2 10" xfId="4926"/>
    <cellStyle name="40% - Accent2 2 2 10 2" xfId="11170"/>
    <cellStyle name="40% - Accent2 2 2 10 3" xfId="17325"/>
    <cellStyle name="40% - Accent2 2 2 10 4" xfId="23452"/>
    <cellStyle name="40% - Accent2 2 2 11" xfId="8084"/>
    <cellStyle name="40% - Accent2 2 2 12" xfId="14477"/>
    <cellStyle name="40% - Accent2 2 2 13" xfId="20364"/>
    <cellStyle name="40% - Accent2 2 2 2" xfId="2018"/>
    <cellStyle name="40% - Accent2 2 2 2 10" xfId="20695"/>
    <cellStyle name="40% - Accent2 2 2 2 2" xfId="2404"/>
    <cellStyle name="40% - Accent2 2 2 2 2 2" xfId="3352"/>
    <cellStyle name="40% - Accent2 2 2 2 2 2 2" xfId="6485"/>
    <cellStyle name="40% - Accent2 2 2 2 2 2 2 2" xfId="12727"/>
    <cellStyle name="40% - Accent2 2 2 2 2 2 2 3" xfId="18882"/>
    <cellStyle name="40% - Accent2 2 2 2 2 2 2 4" xfId="25009"/>
    <cellStyle name="40% - Accent2 2 2 2 2 2 3" xfId="9640"/>
    <cellStyle name="40% - Accent2 2 2 2 2 2 4" xfId="15805"/>
    <cellStyle name="40% - Accent2 2 2 2 2 2 5" xfId="21933"/>
    <cellStyle name="40% - Accent2 2 2 2 2 3" xfId="3351"/>
    <cellStyle name="40% - Accent2 2 2 2 2 3 2" xfId="6484"/>
    <cellStyle name="40% - Accent2 2 2 2 2 3 2 2" xfId="12726"/>
    <cellStyle name="40% - Accent2 2 2 2 2 3 2 3" xfId="18881"/>
    <cellStyle name="40% - Accent2 2 2 2 2 3 2 4" xfId="25008"/>
    <cellStyle name="40% - Accent2 2 2 2 2 3 3" xfId="9639"/>
    <cellStyle name="40% - Accent2 2 2 2 2 3 4" xfId="15804"/>
    <cellStyle name="40% - Accent2 2 2 2 2 3 5" xfId="21932"/>
    <cellStyle name="40% - Accent2 2 2 2 2 4" xfId="5717"/>
    <cellStyle name="40% - Accent2 2 2 2 2 4 2" xfId="11959"/>
    <cellStyle name="40% - Accent2 2 2 2 2 4 3" xfId="18114"/>
    <cellStyle name="40% - Accent2 2 2 2 2 4 4" xfId="24241"/>
    <cellStyle name="40% - Accent2 2 2 2 2 5" xfId="8871"/>
    <cellStyle name="40% - Accent2 2 2 2 2 6" xfId="14479"/>
    <cellStyle name="40% - Accent2 2 2 2 2 7" xfId="21051"/>
    <cellStyle name="40% - Accent2 2 2 2 3" xfId="2229"/>
    <cellStyle name="40% - Accent2 2 2 2 3 2" xfId="3354"/>
    <cellStyle name="40% - Accent2 2 2 2 3 2 2" xfId="6487"/>
    <cellStyle name="40% - Accent2 2 2 2 3 2 2 2" xfId="12729"/>
    <cellStyle name="40% - Accent2 2 2 2 3 2 2 3" xfId="18884"/>
    <cellStyle name="40% - Accent2 2 2 2 3 2 2 4" xfId="25011"/>
    <cellStyle name="40% - Accent2 2 2 2 3 2 3" xfId="9642"/>
    <cellStyle name="40% - Accent2 2 2 2 3 2 4" xfId="15807"/>
    <cellStyle name="40% - Accent2 2 2 2 3 2 5" xfId="21935"/>
    <cellStyle name="40% - Accent2 2 2 2 3 3" xfId="3353"/>
    <cellStyle name="40% - Accent2 2 2 2 3 3 2" xfId="6486"/>
    <cellStyle name="40% - Accent2 2 2 2 3 3 2 2" xfId="12728"/>
    <cellStyle name="40% - Accent2 2 2 2 3 3 2 3" xfId="18883"/>
    <cellStyle name="40% - Accent2 2 2 2 3 3 2 4" xfId="25010"/>
    <cellStyle name="40% - Accent2 2 2 2 3 3 3" xfId="9641"/>
    <cellStyle name="40% - Accent2 2 2 2 3 3 4" xfId="15806"/>
    <cellStyle name="40% - Accent2 2 2 2 3 3 5" xfId="21934"/>
    <cellStyle name="40% - Accent2 2 2 2 3 4" xfId="5542"/>
    <cellStyle name="40% - Accent2 2 2 2 3 4 2" xfId="11784"/>
    <cellStyle name="40% - Accent2 2 2 2 3 4 3" xfId="17939"/>
    <cellStyle name="40% - Accent2 2 2 2 3 4 4" xfId="24066"/>
    <cellStyle name="40% - Accent2 2 2 2 3 5" xfId="8696"/>
    <cellStyle name="40% - Accent2 2 2 2 3 6" xfId="14480"/>
    <cellStyle name="40% - Accent2 2 2 2 3 7" xfId="20876"/>
    <cellStyle name="40% - Accent2 2 2 2 4" xfId="3355"/>
    <cellStyle name="40% - Accent2 2 2 2 4 2" xfId="6488"/>
    <cellStyle name="40% - Accent2 2 2 2 4 2 2" xfId="12730"/>
    <cellStyle name="40% - Accent2 2 2 2 4 2 3" xfId="18885"/>
    <cellStyle name="40% - Accent2 2 2 2 4 2 4" xfId="25012"/>
    <cellStyle name="40% - Accent2 2 2 2 4 3" xfId="9643"/>
    <cellStyle name="40% - Accent2 2 2 2 4 4" xfId="15808"/>
    <cellStyle name="40% - Accent2 2 2 2 4 5" xfId="21936"/>
    <cellStyle name="40% - Accent2 2 2 2 5" xfId="3356"/>
    <cellStyle name="40% - Accent2 2 2 2 5 2" xfId="6489"/>
    <cellStyle name="40% - Accent2 2 2 2 5 2 2" xfId="12731"/>
    <cellStyle name="40% - Accent2 2 2 2 5 2 3" xfId="18886"/>
    <cellStyle name="40% - Accent2 2 2 2 5 2 4" xfId="25013"/>
    <cellStyle name="40% - Accent2 2 2 2 5 3" xfId="9644"/>
    <cellStyle name="40% - Accent2 2 2 2 5 4" xfId="15809"/>
    <cellStyle name="40% - Accent2 2 2 2 5 5" xfId="21937"/>
    <cellStyle name="40% - Accent2 2 2 2 6" xfId="3350"/>
    <cellStyle name="40% - Accent2 2 2 2 6 2" xfId="6483"/>
    <cellStyle name="40% - Accent2 2 2 2 6 2 2" xfId="12725"/>
    <cellStyle name="40% - Accent2 2 2 2 6 2 3" xfId="18880"/>
    <cellStyle name="40% - Accent2 2 2 2 6 2 4" xfId="25007"/>
    <cellStyle name="40% - Accent2 2 2 2 6 3" xfId="9638"/>
    <cellStyle name="40% - Accent2 2 2 2 6 4" xfId="15803"/>
    <cellStyle name="40% - Accent2 2 2 2 6 5" xfId="21931"/>
    <cellStyle name="40% - Accent2 2 2 2 7" xfId="5360"/>
    <cellStyle name="40% - Accent2 2 2 2 7 2" xfId="11602"/>
    <cellStyle name="40% - Accent2 2 2 2 7 3" xfId="17757"/>
    <cellStyle name="40% - Accent2 2 2 2 7 4" xfId="23884"/>
    <cellStyle name="40% - Accent2 2 2 2 8" xfId="8515"/>
    <cellStyle name="40% - Accent2 2 2 2 9" xfId="14478"/>
    <cellStyle name="40% - Accent2 2 2 3" xfId="2321"/>
    <cellStyle name="40% - Accent2 2 2 3 2" xfId="3358"/>
    <cellStyle name="40% - Accent2 2 2 3 2 2" xfId="6491"/>
    <cellStyle name="40% - Accent2 2 2 3 2 2 2" xfId="12733"/>
    <cellStyle name="40% - Accent2 2 2 3 2 2 3" xfId="18888"/>
    <cellStyle name="40% - Accent2 2 2 3 2 2 4" xfId="25015"/>
    <cellStyle name="40% - Accent2 2 2 3 2 3" xfId="9646"/>
    <cellStyle name="40% - Accent2 2 2 3 2 4" xfId="15811"/>
    <cellStyle name="40% - Accent2 2 2 3 2 5" xfId="21939"/>
    <cellStyle name="40% - Accent2 2 2 3 3" xfId="3357"/>
    <cellStyle name="40% - Accent2 2 2 3 3 2" xfId="6490"/>
    <cellStyle name="40% - Accent2 2 2 3 3 2 2" xfId="12732"/>
    <cellStyle name="40% - Accent2 2 2 3 3 2 3" xfId="18887"/>
    <cellStyle name="40% - Accent2 2 2 3 3 2 4" xfId="25014"/>
    <cellStyle name="40% - Accent2 2 2 3 3 3" xfId="9645"/>
    <cellStyle name="40% - Accent2 2 2 3 3 4" xfId="15810"/>
    <cellStyle name="40% - Accent2 2 2 3 3 5" xfId="21938"/>
    <cellStyle name="40% - Accent2 2 2 3 4" xfId="5634"/>
    <cellStyle name="40% - Accent2 2 2 3 4 2" xfId="11876"/>
    <cellStyle name="40% - Accent2 2 2 3 4 3" xfId="18031"/>
    <cellStyle name="40% - Accent2 2 2 3 4 4" xfId="24158"/>
    <cellStyle name="40% - Accent2 2 2 3 5" xfId="8788"/>
    <cellStyle name="40% - Accent2 2 2 3 6" xfId="14481"/>
    <cellStyle name="40% - Accent2 2 2 3 7" xfId="20968"/>
    <cellStyle name="40% - Accent2 2 2 4" xfId="2154"/>
    <cellStyle name="40% - Accent2 2 2 4 2" xfId="3360"/>
    <cellStyle name="40% - Accent2 2 2 4 2 2" xfId="6493"/>
    <cellStyle name="40% - Accent2 2 2 4 2 2 2" xfId="12735"/>
    <cellStyle name="40% - Accent2 2 2 4 2 2 3" xfId="18890"/>
    <cellStyle name="40% - Accent2 2 2 4 2 2 4" xfId="25017"/>
    <cellStyle name="40% - Accent2 2 2 4 2 3" xfId="9648"/>
    <cellStyle name="40% - Accent2 2 2 4 2 4" xfId="15813"/>
    <cellStyle name="40% - Accent2 2 2 4 2 5" xfId="21941"/>
    <cellStyle name="40% - Accent2 2 2 4 3" xfId="3359"/>
    <cellStyle name="40% - Accent2 2 2 4 3 2" xfId="6492"/>
    <cellStyle name="40% - Accent2 2 2 4 3 2 2" xfId="12734"/>
    <cellStyle name="40% - Accent2 2 2 4 3 2 3" xfId="18889"/>
    <cellStyle name="40% - Accent2 2 2 4 3 2 4" xfId="25016"/>
    <cellStyle name="40% - Accent2 2 2 4 3 3" xfId="9647"/>
    <cellStyle name="40% - Accent2 2 2 4 3 4" xfId="15812"/>
    <cellStyle name="40% - Accent2 2 2 4 3 5" xfId="21940"/>
    <cellStyle name="40% - Accent2 2 2 4 4" xfId="5467"/>
    <cellStyle name="40% - Accent2 2 2 4 4 2" xfId="11709"/>
    <cellStyle name="40% - Accent2 2 2 4 4 3" xfId="17864"/>
    <cellStyle name="40% - Accent2 2 2 4 4 4" xfId="23991"/>
    <cellStyle name="40% - Accent2 2 2 4 5" xfId="8621"/>
    <cellStyle name="40% - Accent2 2 2 4 6" xfId="14482"/>
    <cellStyle name="40% - Accent2 2 2 4 7" xfId="20801"/>
    <cellStyle name="40% - Accent2 2 2 5" xfId="791"/>
    <cellStyle name="40% - Accent2 2 2 5 2" xfId="3362"/>
    <cellStyle name="40% - Accent2 2 2 5 2 2" xfId="6495"/>
    <cellStyle name="40% - Accent2 2 2 5 2 2 2" xfId="12737"/>
    <cellStyle name="40% - Accent2 2 2 5 2 2 3" xfId="18892"/>
    <cellStyle name="40% - Accent2 2 2 5 2 2 4" xfId="25019"/>
    <cellStyle name="40% - Accent2 2 2 5 2 3" xfId="9650"/>
    <cellStyle name="40% - Accent2 2 2 5 2 4" xfId="15815"/>
    <cellStyle name="40% - Accent2 2 2 5 2 5" xfId="21943"/>
    <cellStyle name="40% - Accent2 2 2 5 3" xfId="3361"/>
    <cellStyle name="40% - Accent2 2 2 5 3 2" xfId="6494"/>
    <cellStyle name="40% - Accent2 2 2 5 3 2 2" xfId="12736"/>
    <cellStyle name="40% - Accent2 2 2 5 3 2 3" xfId="18891"/>
    <cellStyle name="40% - Accent2 2 2 5 3 2 4" xfId="25018"/>
    <cellStyle name="40% - Accent2 2 2 5 3 3" xfId="9649"/>
    <cellStyle name="40% - Accent2 2 2 5 3 4" xfId="15814"/>
    <cellStyle name="40% - Accent2 2 2 5 3 5" xfId="21942"/>
    <cellStyle name="40% - Accent2 2 2 5 4" xfId="5140"/>
    <cellStyle name="40% - Accent2 2 2 5 4 2" xfId="11383"/>
    <cellStyle name="40% - Accent2 2 2 5 4 3" xfId="17538"/>
    <cellStyle name="40% - Accent2 2 2 5 4 4" xfId="23665"/>
    <cellStyle name="40% - Accent2 2 2 5 5" xfId="8297"/>
    <cellStyle name="40% - Accent2 2 2 5 6" xfId="14483"/>
    <cellStyle name="40% - Accent2 2 2 5 7" xfId="20480"/>
    <cellStyle name="40% - Accent2 2 2 6" xfId="238"/>
    <cellStyle name="40% - Accent2 2 2 6 2" xfId="3364"/>
    <cellStyle name="40% - Accent2 2 2 6 2 2" xfId="6497"/>
    <cellStyle name="40% - Accent2 2 2 6 2 2 2" xfId="12739"/>
    <cellStyle name="40% - Accent2 2 2 6 2 2 3" xfId="18894"/>
    <cellStyle name="40% - Accent2 2 2 6 2 2 4" xfId="25021"/>
    <cellStyle name="40% - Accent2 2 2 6 2 3" xfId="9652"/>
    <cellStyle name="40% - Accent2 2 2 6 2 4" xfId="15817"/>
    <cellStyle name="40% - Accent2 2 2 6 2 5" xfId="21945"/>
    <cellStyle name="40% - Accent2 2 2 6 3" xfId="3363"/>
    <cellStyle name="40% - Accent2 2 2 6 3 2" xfId="6496"/>
    <cellStyle name="40% - Accent2 2 2 6 3 2 2" xfId="12738"/>
    <cellStyle name="40% - Accent2 2 2 6 3 2 3" xfId="18893"/>
    <cellStyle name="40% - Accent2 2 2 6 3 2 4" xfId="25020"/>
    <cellStyle name="40% - Accent2 2 2 6 3 3" xfId="9651"/>
    <cellStyle name="40% - Accent2 2 2 6 3 4" xfId="15816"/>
    <cellStyle name="40% - Accent2 2 2 6 3 5" xfId="21944"/>
    <cellStyle name="40% - Accent2 2 2 6 4" xfId="5018"/>
    <cellStyle name="40% - Accent2 2 2 6 4 2" xfId="11261"/>
    <cellStyle name="40% - Accent2 2 2 6 4 3" xfId="17416"/>
    <cellStyle name="40% - Accent2 2 2 6 4 4" xfId="23543"/>
    <cellStyle name="40% - Accent2 2 2 6 5" xfId="8176"/>
    <cellStyle name="40% - Accent2 2 2 6 6" xfId="14484"/>
    <cellStyle name="40% - Accent2 2 2 6 7" xfId="21172"/>
    <cellStyle name="40% - Accent2 2 2 7" xfId="3365"/>
    <cellStyle name="40% - Accent2 2 2 7 2" xfId="6498"/>
    <cellStyle name="40% - Accent2 2 2 7 2 2" xfId="12740"/>
    <cellStyle name="40% - Accent2 2 2 7 2 3" xfId="18895"/>
    <cellStyle name="40% - Accent2 2 2 7 2 4" xfId="25022"/>
    <cellStyle name="40% - Accent2 2 2 7 3" xfId="9653"/>
    <cellStyle name="40% - Accent2 2 2 7 4" xfId="15818"/>
    <cellStyle name="40% - Accent2 2 2 7 5" xfId="21946"/>
    <cellStyle name="40% - Accent2 2 2 8" xfId="3366"/>
    <cellStyle name="40% - Accent2 2 2 8 2" xfId="6499"/>
    <cellStyle name="40% - Accent2 2 2 8 2 2" xfId="12741"/>
    <cellStyle name="40% - Accent2 2 2 8 2 3" xfId="18896"/>
    <cellStyle name="40% - Accent2 2 2 8 2 4" xfId="25023"/>
    <cellStyle name="40% - Accent2 2 2 8 3" xfId="9654"/>
    <cellStyle name="40% - Accent2 2 2 8 4" xfId="15819"/>
    <cellStyle name="40% - Accent2 2 2 8 5" xfId="21947"/>
    <cellStyle name="40% - Accent2 2 2 9" xfId="3349"/>
    <cellStyle name="40% - Accent2 2 2 9 2" xfId="6482"/>
    <cellStyle name="40% - Accent2 2 2 9 2 2" xfId="12724"/>
    <cellStyle name="40% - Accent2 2 2 9 2 3" xfId="18879"/>
    <cellStyle name="40% - Accent2 2 2 9 2 4" xfId="25006"/>
    <cellStyle name="40% - Accent2 2 2 9 3" xfId="9637"/>
    <cellStyle name="40% - Accent2 2 2 9 4" xfId="15802"/>
    <cellStyle name="40% - Accent2 2 2 9 5" xfId="21930"/>
    <cellStyle name="40% - Accent2 2 3" xfId="1031"/>
    <cellStyle name="40% - Accent2 2 3 2" xfId="2403"/>
    <cellStyle name="40% - Accent2 2 3 2 2" xfId="3368"/>
    <cellStyle name="40% - Accent2 2 3 2 2 2" xfId="6501"/>
    <cellStyle name="40% - Accent2 2 3 2 2 2 2" xfId="12743"/>
    <cellStyle name="40% - Accent2 2 3 2 2 2 3" xfId="18898"/>
    <cellStyle name="40% - Accent2 2 3 2 2 2 4" xfId="25025"/>
    <cellStyle name="40% - Accent2 2 3 2 2 3" xfId="9656"/>
    <cellStyle name="40% - Accent2 2 3 2 2 4" xfId="15821"/>
    <cellStyle name="40% - Accent2 2 3 2 2 5" xfId="21949"/>
    <cellStyle name="40% - Accent2 2 3 2 3" xfId="3367"/>
    <cellStyle name="40% - Accent2 2 3 2 3 2" xfId="6500"/>
    <cellStyle name="40% - Accent2 2 3 2 3 2 2" xfId="12742"/>
    <cellStyle name="40% - Accent2 2 3 2 3 2 3" xfId="18897"/>
    <cellStyle name="40% - Accent2 2 3 2 3 2 4" xfId="25024"/>
    <cellStyle name="40% - Accent2 2 3 2 3 3" xfId="9655"/>
    <cellStyle name="40% - Accent2 2 3 2 3 4" xfId="15820"/>
    <cellStyle name="40% - Accent2 2 3 2 3 5" xfId="21948"/>
    <cellStyle name="40% - Accent2 2 3 2 4" xfId="5716"/>
    <cellStyle name="40% - Accent2 2 3 2 4 2" xfId="11958"/>
    <cellStyle name="40% - Accent2 2 3 2 4 3" xfId="18113"/>
    <cellStyle name="40% - Accent2 2 3 2 4 4" xfId="24240"/>
    <cellStyle name="40% - Accent2 2 3 2 5" xfId="8870"/>
    <cellStyle name="40% - Accent2 2 3 2 6" xfId="14485"/>
    <cellStyle name="40% - Accent2 2 3 2 7" xfId="21050"/>
    <cellStyle name="40% - Accent2 2 3 3" xfId="2228"/>
    <cellStyle name="40% - Accent2 2 3 3 2" xfId="3370"/>
    <cellStyle name="40% - Accent2 2 3 3 2 2" xfId="6503"/>
    <cellStyle name="40% - Accent2 2 3 3 2 2 2" xfId="12745"/>
    <cellStyle name="40% - Accent2 2 3 3 2 2 3" xfId="18900"/>
    <cellStyle name="40% - Accent2 2 3 3 2 2 4" xfId="25027"/>
    <cellStyle name="40% - Accent2 2 3 3 2 3" xfId="9658"/>
    <cellStyle name="40% - Accent2 2 3 3 2 4" xfId="15823"/>
    <cellStyle name="40% - Accent2 2 3 3 2 5" xfId="21951"/>
    <cellStyle name="40% - Accent2 2 3 3 3" xfId="3369"/>
    <cellStyle name="40% - Accent2 2 3 3 3 2" xfId="6502"/>
    <cellStyle name="40% - Accent2 2 3 3 3 2 2" xfId="12744"/>
    <cellStyle name="40% - Accent2 2 3 3 3 2 3" xfId="18899"/>
    <cellStyle name="40% - Accent2 2 3 3 3 2 4" xfId="25026"/>
    <cellStyle name="40% - Accent2 2 3 3 3 3" xfId="9657"/>
    <cellStyle name="40% - Accent2 2 3 3 3 4" xfId="15822"/>
    <cellStyle name="40% - Accent2 2 3 3 3 5" xfId="21950"/>
    <cellStyle name="40% - Accent2 2 3 3 4" xfId="5541"/>
    <cellStyle name="40% - Accent2 2 3 3 4 2" xfId="11783"/>
    <cellStyle name="40% - Accent2 2 3 3 4 3" xfId="17938"/>
    <cellStyle name="40% - Accent2 2 3 3 4 4" xfId="24065"/>
    <cellStyle name="40% - Accent2 2 3 3 5" xfId="8695"/>
    <cellStyle name="40% - Accent2 2 3 3 6" xfId="14486"/>
    <cellStyle name="40% - Accent2 2 3 3 7" xfId="20875"/>
    <cellStyle name="40% - Accent2 2 3 4" xfId="2017"/>
    <cellStyle name="40% - Accent2 2 3 4 2" xfId="3372"/>
    <cellStyle name="40% - Accent2 2 3 4 2 2" xfId="6505"/>
    <cellStyle name="40% - Accent2 2 3 4 2 2 2" xfId="12747"/>
    <cellStyle name="40% - Accent2 2 3 4 2 2 3" xfId="18902"/>
    <cellStyle name="40% - Accent2 2 3 4 2 2 4" xfId="25029"/>
    <cellStyle name="40% - Accent2 2 3 4 2 3" xfId="9660"/>
    <cellStyle name="40% - Accent2 2 3 4 2 4" xfId="15825"/>
    <cellStyle name="40% - Accent2 2 3 4 2 5" xfId="21953"/>
    <cellStyle name="40% - Accent2 2 3 4 3" xfId="3371"/>
    <cellStyle name="40% - Accent2 2 3 4 3 2" xfId="6504"/>
    <cellStyle name="40% - Accent2 2 3 4 3 2 2" xfId="12746"/>
    <cellStyle name="40% - Accent2 2 3 4 3 2 3" xfId="18901"/>
    <cellStyle name="40% - Accent2 2 3 4 3 2 4" xfId="25028"/>
    <cellStyle name="40% - Accent2 2 3 4 3 3" xfId="9659"/>
    <cellStyle name="40% - Accent2 2 3 4 3 4" xfId="15824"/>
    <cellStyle name="40% - Accent2 2 3 4 3 5" xfId="21952"/>
    <cellStyle name="40% - Accent2 2 3 4 4" xfId="5359"/>
    <cellStyle name="40% - Accent2 2 3 4 4 2" xfId="11601"/>
    <cellStyle name="40% - Accent2 2 3 4 4 3" xfId="17756"/>
    <cellStyle name="40% - Accent2 2 3 4 4 4" xfId="23883"/>
    <cellStyle name="40% - Accent2 2 3 4 5" xfId="8514"/>
    <cellStyle name="40% - Accent2 2 3 4 6" xfId="14487"/>
    <cellStyle name="40% - Accent2 2 3 4 7" xfId="20694"/>
    <cellStyle name="40% - Accent2 2 3 5" xfId="3373"/>
    <cellStyle name="40% - Accent2 2 3 6" xfId="3374"/>
    <cellStyle name="40% - Accent2 2 3 6 2" xfId="6506"/>
    <cellStyle name="40% - Accent2 2 3 6 2 2" xfId="12748"/>
    <cellStyle name="40% - Accent2 2 3 6 2 3" xfId="18903"/>
    <cellStyle name="40% - Accent2 2 3 6 2 4" xfId="25030"/>
    <cellStyle name="40% - Accent2 2 3 6 3" xfId="9661"/>
    <cellStyle name="40% - Accent2 2 3 6 4" xfId="15826"/>
    <cellStyle name="40% - Accent2 2 3 6 5" xfId="21954"/>
    <cellStyle name="40% - Accent2 2 4" xfId="2320"/>
    <cellStyle name="40% - Accent2 2 4 2" xfId="3376"/>
    <cellStyle name="40% - Accent2 2 4 2 2" xfId="6508"/>
    <cellStyle name="40% - Accent2 2 4 2 2 2" xfId="12750"/>
    <cellStyle name="40% - Accent2 2 4 2 2 3" xfId="18905"/>
    <cellStyle name="40% - Accent2 2 4 2 2 4" xfId="25032"/>
    <cellStyle name="40% - Accent2 2 4 2 3" xfId="9663"/>
    <cellStyle name="40% - Accent2 2 4 2 4" xfId="15828"/>
    <cellStyle name="40% - Accent2 2 4 2 5" xfId="21956"/>
    <cellStyle name="40% - Accent2 2 4 3" xfId="3375"/>
    <cellStyle name="40% - Accent2 2 4 3 2" xfId="6507"/>
    <cellStyle name="40% - Accent2 2 4 3 2 2" xfId="12749"/>
    <cellStyle name="40% - Accent2 2 4 3 2 3" xfId="18904"/>
    <cellStyle name="40% - Accent2 2 4 3 2 4" xfId="25031"/>
    <cellStyle name="40% - Accent2 2 4 3 3" xfId="9662"/>
    <cellStyle name="40% - Accent2 2 4 3 4" xfId="15827"/>
    <cellStyle name="40% - Accent2 2 4 3 5" xfId="21955"/>
    <cellStyle name="40% - Accent2 2 4 4" xfId="5633"/>
    <cellStyle name="40% - Accent2 2 4 4 2" xfId="11875"/>
    <cellStyle name="40% - Accent2 2 4 4 3" xfId="18030"/>
    <cellStyle name="40% - Accent2 2 4 4 4" xfId="24157"/>
    <cellStyle name="40% - Accent2 2 4 5" xfId="8787"/>
    <cellStyle name="40% - Accent2 2 4 6" xfId="14488"/>
    <cellStyle name="40% - Accent2 2 4 7" xfId="20967"/>
    <cellStyle name="40% - Accent2 2 5" xfId="2153"/>
    <cellStyle name="40% - Accent2 2 5 2" xfId="3378"/>
    <cellStyle name="40% - Accent2 2 5 2 2" xfId="6510"/>
    <cellStyle name="40% - Accent2 2 5 2 2 2" xfId="12752"/>
    <cellStyle name="40% - Accent2 2 5 2 2 3" xfId="18907"/>
    <cellStyle name="40% - Accent2 2 5 2 2 4" xfId="25034"/>
    <cellStyle name="40% - Accent2 2 5 2 3" xfId="9665"/>
    <cellStyle name="40% - Accent2 2 5 2 4" xfId="15830"/>
    <cellStyle name="40% - Accent2 2 5 2 5" xfId="21958"/>
    <cellStyle name="40% - Accent2 2 5 3" xfId="3377"/>
    <cellStyle name="40% - Accent2 2 5 3 2" xfId="6509"/>
    <cellStyle name="40% - Accent2 2 5 3 2 2" xfId="12751"/>
    <cellStyle name="40% - Accent2 2 5 3 2 3" xfId="18906"/>
    <cellStyle name="40% - Accent2 2 5 3 2 4" xfId="25033"/>
    <cellStyle name="40% - Accent2 2 5 3 3" xfId="9664"/>
    <cellStyle name="40% - Accent2 2 5 3 4" xfId="15829"/>
    <cellStyle name="40% - Accent2 2 5 3 5" xfId="21957"/>
    <cellStyle name="40% - Accent2 2 5 4" xfId="5466"/>
    <cellStyle name="40% - Accent2 2 5 4 2" xfId="11708"/>
    <cellStyle name="40% - Accent2 2 5 4 3" xfId="17863"/>
    <cellStyle name="40% - Accent2 2 5 4 4" xfId="23990"/>
    <cellStyle name="40% - Accent2 2 5 5" xfId="8620"/>
    <cellStyle name="40% - Accent2 2 5 6" xfId="14489"/>
    <cellStyle name="40% - Accent2 2 5 7" xfId="20800"/>
    <cellStyle name="40% - Accent2 2 6" xfId="790"/>
    <cellStyle name="40% - Accent2 2 6 2" xfId="3380"/>
    <cellStyle name="40% - Accent2 2 6 2 2" xfId="6512"/>
    <cellStyle name="40% - Accent2 2 6 2 2 2" xfId="12754"/>
    <cellStyle name="40% - Accent2 2 6 2 2 3" xfId="18909"/>
    <cellStyle name="40% - Accent2 2 6 2 2 4" xfId="25036"/>
    <cellStyle name="40% - Accent2 2 6 2 3" xfId="9667"/>
    <cellStyle name="40% - Accent2 2 6 2 4" xfId="15832"/>
    <cellStyle name="40% - Accent2 2 6 2 5" xfId="21960"/>
    <cellStyle name="40% - Accent2 2 6 3" xfId="3379"/>
    <cellStyle name="40% - Accent2 2 6 3 2" xfId="6511"/>
    <cellStyle name="40% - Accent2 2 6 3 2 2" xfId="12753"/>
    <cellStyle name="40% - Accent2 2 6 3 2 3" xfId="18908"/>
    <cellStyle name="40% - Accent2 2 6 3 2 4" xfId="25035"/>
    <cellStyle name="40% - Accent2 2 6 3 3" xfId="9666"/>
    <cellStyle name="40% - Accent2 2 6 3 4" xfId="15831"/>
    <cellStyle name="40% - Accent2 2 6 3 5" xfId="21959"/>
    <cellStyle name="40% - Accent2 2 6 4" xfId="5139"/>
    <cellStyle name="40% - Accent2 2 6 4 2" xfId="11382"/>
    <cellStyle name="40% - Accent2 2 6 4 3" xfId="17537"/>
    <cellStyle name="40% - Accent2 2 6 4 4" xfId="23664"/>
    <cellStyle name="40% - Accent2 2 6 5" xfId="8296"/>
    <cellStyle name="40% - Accent2 2 6 6" xfId="14490"/>
    <cellStyle name="40% - Accent2 2 6 7" xfId="20479"/>
    <cellStyle name="40% - Accent2 2 7" xfId="237"/>
    <cellStyle name="40% - Accent2 2 7 2" xfId="3382"/>
    <cellStyle name="40% - Accent2 2 7 2 2" xfId="6514"/>
    <cellStyle name="40% - Accent2 2 7 2 2 2" xfId="12756"/>
    <cellStyle name="40% - Accent2 2 7 2 2 3" xfId="18911"/>
    <cellStyle name="40% - Accent2 2 7 2 2 4" xfId="25038"/>
    <cellStyle name="40% - Accent2 2 7 2 3" xfId="9669"/>
    <cellStyle name="40% - Accent2 2 7 2 4" xfId="15834"/>
    <cellStyle name="40% - Accent2 2 7 2 5" xfId="21962"/>
    <cellStyle name="40% - Accent2 2 7 3" xfId="3381"/>
    <cellStyle name="40% - Accent2 2 7 3 2" xfId="6513"/>
    <cellStyle name="40% - Accent2 2 7 3 2 2" xfId="12755"/>
    <cellStyle name="40% - Accent2 2 7 3 2 3" xfId="18910"/>
    <cellStyle name="40% - Accent2 2 7 3 2 4" xfId="25037"/>
    <cellStyle name="40% - Accent2 2 7 3 3" xfId="9668"/>
    <cellStyle name="40% - Accent2 2 7 3 4" xfId="15833"/>
    <cellStyle name="40% - Accent2 2 7 3 5" xfId="21961"/>
    <cellStyle name="40% - Accent2 2 7 4" xfId="5017"/>
    <cellStyle name="40% - Accent2 2 7 4 2" xfId="11260"/>
    <cellStyle name="40% - Accent2 2 7 4 3" xfId="17415"/>
    <cellStyle name="40% - Accent2 2 7 4 4" xfId="23542"/>
    <cellStyle name="40% - Accent2 2 7 5" xfId="8175"/>
    <cellStyle name="40% - Accent2 2 7 6" xfId="14491"/>
    <cellStyle name="40% - Accent2 2 7 7" xfId="21171"/>
    <cellStyle name="40% - Accent2 2 8" xfId="3383"/>
    <cellStyle name="40% - Accent2 2 8 2" xfId="6515"/>
    <cellStyle name="40% - Accent2 2 8 2 2" xfId="12757"/>
    <cellStyle name="40% - Accent2 2 8 2 3" xfId="18912"/>
    <cellStyle name="40% - Accent2 2 8 2 4" xfId="25039"/>
    <cellStyle name="40% - Accent2 2 8 3" xfId="9670"/>
    <cellStyle name="40% - Accent2 2 8 4" xfId="15835"/>
    <cellStyle name="40% - Accent2 2 8 5" xfId="21963"/>
    <cellStyle name="40% - Accent2 2 9" xfId="3384"/>
    <cellStyle name="40% - Accent2 2 9 2" xfId="6516"/>
    <cellStyle name="40% - Accent2 2 9 2 2" xfId="12758"/>
    <cellStyle name="40% - Accent2 2 9 2 3" xfId="18913"/>
    <cellStyle name="40% - Accent2 2 9 2 4" xfId="25040"/>
    <cellStyle name="40% - Accent2 2 9 3" xfId="9671"/>
    <cellStyle name="40% - Accent2 2 9 4" xfId="15836"/>
    <cellStyle name="40% - Accent2 2 9 5" xfId="21964"/>
    <cellStyle name="40% - Accent2 3" xfId="76"/>
    <cellStyle name="40% - Accent2 3 10" xfId="3385"/>
    <cellStyle name="40% - Accent2 3 10 2" xfId="6517"/>
    <cellStyle name="40% - Accent2 3 10 2 2" xfId="12759"/>
    <cellStyle name="40% - Accent2 3 10 2 3" xfId="18914"/>
    <cellStyle name="40% - Accent2 3 10 2 4" xfId="25041"/>
    <cellStyle name="40% - Accent2 3 10 3" xfId="9672"/>
    <cellStyle name="40% - Accent2 3 10 4" xfId="15837"/>
    <cellStyle name="40% - Accent2 3 10 5" xfId="21965"/>
    <cellStyle name="40% - Accent2 3 11" xfId="4927"/>
    <cellStyle name="40% - Accent2 3 11 2" xfId="11171"/>
    <cellStyle name="40% - Accent2 3 11 3" xfId="17326"/>
    <cellStyle name="40% - Accent2 3 11 4" xfId="23453"/>
    <cellStyle name="40% - Accent2 3 12" xfId="8085"/>
    <cellStyle name="40% - Accent2 3 13" xfId="14492"/>
    <cellStyle name="40% - Accent2 3 14" xfId="20365"/>
    <cellStyle name="40% - Accent2 3 2" xfId="77"/>
    <cellStyle name="40% - Accent2 3 2 10" xfId="4928"/>
    <cellStyle name="40% - Accent2 3 2 10 2" xfId="11172"/>
    <cellStyle name="40% - Accent2 3 2 10 3" xfId="17327"/>
    <cellStyle name="40% - Accent2 3 2 10 4" xfId="23454"/>
    <cellStyle name="40% - Accent2 3 2 11" xfId="8086"/>
    <cellStyle name="40% - Accent2 3 2 12" xfId="14493"/>
    <cellStyle name="40% - Accent2 3 2 13" xfId="20366"/>
    <cellStyle name="40% - Accent2 3 2 2" xfId="2020"/>
    <cellStyle name="40% - Accent2 3 2 2 10" xfId="20697"/>
    <cellStyle name="40% - Accent2 3 2 2 2" xfId="2406"/>
    <cellStyle name="40% - Accent2 3 2 2 2 2" xfId="3389"/>
    <cellStyle name="40% - Accent2 3 2 2 2 2 2" xfId="6521"/>
    <cellStyle name="40% - Accent2 3 2 2 2 2 2 2" xfId="12763"/>
    <cellStyle name="40% - Accent2 3 2 2 2 2 2 3" xfId="18918"/>
    <cellStyle name="40% - Accent2 3 2 2 2 2 2 4" xfId="25045"/>
    <cellStyle name="40% - Accent2 3 2 2 2 2 3" xfId="9676"/>
    <cellStyle name="40% - Accent2 3 2 2 2 2 4" xfId="15841"/>
    <cellStyle name="40% - Accent2 3 2 2 2 2 5" xfId="21969"/>
    <cellStyle name="40% - Accent2 3 2 2 2 3" xfId="3388"/>
    <cellStyle name="40% - Accent2 3 2 2 2 3 2" xfId="6520"/>
    <cellStyle name="40% - Accent2 3 2 2 2 3 2 2" xfId="12762"/>
    <cellStyle name="40% - Accent2 3 2 2 2 3 2 3" xfId="18917"/>
    <cellStyle name="40% - Accent2 3 2 2 2 3 2 4" xfId="25044"/>
    <cellStyle name="40% - Accent2 3 2 2 2 3 3" xfId="9675"/>
    <cellStyle name="40% - Accent2 3 2 2 2 3 4" xfId="15840"/>
    <cellStyle name="40% - Accent2 3 2 2 2 3 5" xfId="21968"/>
    <cellStyle name="40% - Accent2 3 2 2 2 4" xfId="5719"/>
    <cellStyle name="40% - Accent2 3 2 2 2 4 2" xfId="11961"/>
    <cellStyle name="40% - Accent2 3 2 2 2 4 3" xfId="18116"/>
    <cellStyle name="40% - Accent2 3 2 2 2 4 4" xfId="24243"/>
    <cellStyle name="40% - Accent2 3 2 2 2 5" xfId="8873"/>
    <cellStyle name="40% - Accent2 3 2 2 2 6" xfId="14495"/>
    <cellStyle name="40% - Accent2 3 2 2 2 7" xfId="21053"/>
    <cellStyle name="40% - Accent2 3 2 2 3" xfId="2231"/>
    <cellStyle name="40% - Accent2 3 2 2 3 2" xfId="3391"/>
    <cellStyle name="40% - Accent2 3 2 2 3 2 2" xfId="6523"/>
    <cellStyle name="40% - Accent2 3 2 2 3 2 2 2" xfId="12765"/>
    <cellStyle name="40% - Accent2 3 2 2 3 2 2 3" xfId="18920"/>
    <cellStyle name="40% - Accent2 3 2 2 3 2 2 4" xfId="25047"/>
    <cellStyle name="40% - Accent2 3 2 2 3 2 3" xfId="9678"/>
    <cellStyle name="40% - Accent2 3 2 2 3 2 4" xfId="15843"/>
    <cellStyle name="40% - Accent2 3 2 2 3 2 5" xfId="21971"/>
    <cellStyle name="40% - Accent2 3 2 2 3 3" xfId="3390"/>
    <cellStyle name="40% - Accent2 3 2 2 3 3 2" xfId="6522"/>
    <cellStyle name="40% - Accent2 3 2 2 3 3 2 2" xfId="12764"/>
    <cellStyle name="40% - Accent2 3 2 2 3 3 2 3" xfId="18919"/>
    <cellStyle name="40% - Accent2 3 2 2 3 3 2 4" xfId="25046"/>
    <cellStyle name="40% - Accent2 3 2 2 3 3 3" xfId="9677"/>
    <cellStyle name="40% - Accent2 3 2 2 3 3 4" xfId="15842"/>
    <cellStyle name="40% - Accent2 3 2 2 3 3 5" xfId="21970"/>
    <cellStyle name="40% - Accent2 3 2 2 3 4" xfId="5544"/>
    <cellStyle name="40% - Accent2 3 2 2 3 4 2" xfId="11786"/>
    <cellStyle name="40% - Accent2 3 2 2 3 4 3" xfId="17941"/>
    <cellStyle name="40% - Accent2 3 2 2 3 4 4" xfId="24068"/>
    <cellStyle name="40% - Accent2 3 2 2 3 5" xfId="8698"/>
    <cellStyle name="40% - Accent2 3 2 2 3 6" xfId="14496"/>
    <cellStyle name="40% - Accent2 3 2 2 3 7" xfId="20878"/>
    <cellStyle name="40% - Accent2 3 2 2 4" xfId="3392"/>
    <cellStyle name="40% - Accent2 3 2 2 4 2" xfId="6524"/>
    <cellStyle name="40% - Accent2 3 2 2 4 2 2" xfId="12766"/>
    <cellStyle name="40% - Accent2 3 2 2 4 2 3" xfId="18921"/>
    <cellStyle name="40% - Accent2 3 2 2 4 2 4" xfId="25048"/>
    <cellStyle name="40% - Accent2 3 2 2 4 3" xfId="9679"/>
    <cellStyle name="40% - Accent2 3 2 2 4 4" xfId="15844"/>
    <cellStyle name="40% - Accent2 3 2 2 4 5" xfId="21972"/>
    <cellStyle name="40% - Accent2 3 2 2 5" xfId="3393"/>
    <cellStyle name="40% - Accent2 3 2 2 5 2" xfId="6525"/>
    <cellStyle name="40% - Accent2 3 2 2 5 2 2" xfId="12767"/>
    <cellStyle name="40% - Accent2 3 2 2 5 2 3" xfId="18922"/>
    <cellStyle name="40% - Accent2 3 2 2 5 2 4" xfId="25049"/>
    <cellStyle name="40% - Accent2 3 2 2 5 3" xfId="9680"/>
    <cellStyle name="40% - Accent2 3 2 2 5 4" xfId="15845"/>
    <cellStyle name="40% - Accent2 3 2 2 5 5" xfId="21973"/>
    <cellStyle name="40% - Accent2 3 2 2 6" xfId="3387"/>
    <cellStyle name="40% - Accent2 3 2 2 6 2" xfId="6519"/>
    <cellStyle name="40% - Accent2 3 2 2 6 2 2" xfId="12761"/>
    <cellStyle name="40% - Accent2 3 2 2 6 2 3" xfId="18916"/>
    <cellStyle name="40% - Accent2 3 2 2 6 2 4" xfId="25043"/>
    <cellStyle name="40% - Accent2 3 2 2 6 3" xfId="9674"/>
    <cellStyle name="40% - Accent2 3 2 2 6 4" xfId="15839"/>
    <cellStyle name="40% - Accent2 3 2 2 6 5" xfId="21967"/>
    <cellStyle name="40% - Accent2 3 2 2 7" xfId="5362"/>
    <cellStyle name="40% - Accent2 3 2 2 7 2" xfId="11604"/>
    <cellStyle name="40% - Accent2 3 2 2 7 3" xfId="17759"/>
    <cellStyle name="40% - Accent2 3 2 2 7 4" xfId="23886"/>
    <cellStyle name="40% - Accent2 3 2 2 8" xfId="8517"/>
    <cellStyle name="40% - Accent2 3 2 2 9" xfId="14494"/>
    <cellStyle name="40% - Accent2 3 2 3" xfId="2323"/>
    <cellStyle name="40% - Accent2 3 2 3 2" xfId="3395"/>
    <cellStyle name="40% - Accent2 3 2 3 2 2" xfId="6527"/>
    <cellStyle name="40% - Accent2 3 2 3 2 2 2" xfId="12769"/>
    <cellStyle name="40% - Accent2 3 2 3 2 2 3" xfId="18924"/>
    <cellStyle name="40% - Accent2 3 2 3 2 2 4" xfId="25051"/>
    <cellStyle name="40% - Accent2 3 2 3 2 3" xfId="9682"/>
    <cellStyle name="40% - Accent2 3 2 3 2 4" xfId="15847"/>
    <cellStyle name="40% - Accent2 3 2 3 2 5" xfId="21975"/>
    <cellStyle name="40% - Accent2 3 2 3 3" xfId="3394"/>
    <cellStyle name="40% - Accent2 3 2 3 3 2" xfId="6526"/>
    <cellStyle name="40% - Accent2 3 2 3 3 2 2" xfId="12768"/>
    <cellStyle name="40% - Accent2 3 2 3 3 2 3" xfId="18923"/>
    <cellStyle name="40% - Accent2 3 2 3 3 2 4" xfId="25050"/>
    <cellStyle name="40% - Accent2 3 2 3 3 3" xfId="9681"/>
    <cellStyle name="40% - Accent2 3 2 3 3 4" xfId="15846"/>
    <cellStyle name="40% - Accent2 3 2 3 3 5" xfId="21974"/>
    <cellStyle name="40% - Accent2 3 2 3 4" xfId="5636"/>
    <cellStyle name="40% - Accent2 3 2 3 4 2" xfId="11878"/>
    <cellStyle name="40% - Accent2 3 2 3 4 3" xfId="18033"/>
    <cellStyle name="40% - Accent2 3 2 3 4 4" xfId="24160"/>
    <cellStyle name="40% - Accent2 3 2 3 5" xfId="8790"/>
    <cellStyle name="40% - Accent2 3 2 3 6" xfId="14497"/>
    <cellStyle name="40% - Accent2 3 2 3 7" xfId="20970"/>
    <cellStyle name="40% - Accent2 3 2 4" xfId="2156"/>
    <cellStyle name="40% - Accent2 3 2 4 2" xfId="3397"/>
    <cellStyle name="40% - Accent2 3 2 4 2 2" xfId="6529"/>
    <cellStyle name="40% - Accent2 3 2 4 2 2 2" xfId="12771"/>
    <cellStyle name="40% - Accent2 3 2 4 2 2 3" xfId="18926"/>
    <cellStyle name="40% - Accent2 3 2 4 2 2 4" xfId="25053"/>
    <cellStyle name="40% - Accent2 3 2 4 2 3" xfId="9684"/>
    <cellStyle name="40% - Accent2 3 2 4 2 4" xfId="15849"/>
    <cellStyle name="40% - Accent2 3 2 4 2 5" xfId="21977"/>
    <cellStyle name="40% - Accent2 3 2 4 3" xfId="3396"/>
    <cellStyle name="40% - Accent2 3 2 4 3 2" xfId="6528"/>
    <cellStyle name="40% - Accent2 3 2 4 3 2 2" xfId="12770"/>
    <cellStyle name="40% - Accent2 3 2 4 3 2 3" xfId="18925"/>
    <cellStyle name="40% - Accent2 3 2 4 3 2 4" xfId="25052"/>
    <cellStyle name="40% - Accent2 3 2 4 3 3" xfId="9683"/>
    <cellStyle name="40% - Accent2 3 2 4 3 4" xfId="15848"/>
    <cellStyle name="40% - Accent2 3 2 4 3 5" xfId="21976"/>
    <cellStyle name="40% - Accent2 3 2 4 4" xfId="5469"/>
    <cellStyle name="40% - Accent2 3 2 4 4 2" xfId="11711"/>
    <cellStyle name="40% - Accent2 3 2 4 4 3" xfId="17866"/>
    <cellStyle name="40% - Accent2 3 2 4 4 4" xfId="23993"/>
    <cellStyle name="40% - Accent2 3 2 4 5" xfId="8623"/>
    <cellStyle name="40% - Accent2 3 2 4 6" xfId="14498"/>
    <cellStyle name="40% - Accent2 3 2 4 7" xfId="20803"/>
    <cellStyle name="40% - Accent2 3 2 5" xfId="793"/>
    <cellStyle name="40% - Accent2 3 2 5 2" xfId="3399"/>
    <cellStyle name="40% - Accent2 3 2 5 2 2" xfId="6531"/>
    <cellStyle name="40% - Accent2 3 2 5 2 2 2" xfId="12773"/>
    <cellStyle name="40% - Accent2 3 2 5 2 2 3" xfId="18928"/>
    <cellStyle name="40% - Accent2 3 2 5 2 2 4" xfId="25055"/>
    <cellStyle name="40% - Accent2 3 2 5 2 3" xfId="9686"/>
    <cellStyle name="40% - Accent2 3 2 5 2 4" xfId="15851"/>
    <cellStyle name="40% - Accent2 3 2 5 2 5" xfId="21979"/>
    <cellStyle name="40% - Accent2 3 2 5 3" xfId="3398"/>
    <cellStyle name="40% - Accent2 3 2 5 3 2" xfId="6530"/>
    <cellStyle name="40% - Accent2 3 2 5 3 2 2" xfId="12772"/>
    <cellStyle name="40% - Accent2 3 2 5 3 2 3" xfId="18927"/>
    <cellStyle name="40% - Accent2 3 2 5 3 2 4" xfId="25054"/>
    <cellStyle name="40% - Accent2 3 2 5 3 3" xfId="9685"/>
    <cellStyle name="40% - Accent2 3 2 5 3 4" xfId="15850"/>
    <cellStyle name="40% - Accent2 3 2 5 3 5" xfId="21978"/>
    <cellStyle name="40% - Accent2 3 2 5 4" xfId="5142"/>
    <cellStyle name="40% - Accent2 3 2 5 4 2" xfId="11385"/>
    <cellStyle name="40% - Accent2 3 2 5 4 3" xfId="17540"/>
    <cellStyle name="40% - Accent2 3 2 5 4 4" xfId="23667"/>
    <cellStyle name="40% - Accent2 3 2 5 5" xfId="8299"/>
    <cellStyle name="40% - Accent2 3 2 5 6" xfId="14499"/>
    <cellStyle name="40% - Accent2 3 2 5 7" xfId="20482"/>
    <cellStyle name="40% - Accent2 3 2 6" xfId="240"/>
    <cellStyle name="40% - Accent2 3 2 6 2" xfId="3401"/>
    <cellStyle name="40% - Accent2 3 2 6 2 2" xfId="6533"/>
    <cellStyle name="40% - Accent2 3 2 6 2 2 2" xfId="12775"/>
    <cellStyle name="40% - Accent2 3 2 6 2 2 3" xfId="18930"/>
    <cellStyle name="40% - Accent2 3 2 6 2 2 4" xfId="25057"/>
    <cellStyle name="40% - Accent2 3 2 6 2 3" xfId="9688"/>
    <cellStyle name="40% - Accent2 3 2 6 2 4" xfId="15853"/>
    <cellStyle name="40% - Accent2 3 2 6 2 5" xfId="21981"/>
    <cellStyle name="40% - Accent2 3 2 6 3" xfId="3400"/>
    <cellStyle name="40% - Accent2 3 2 6 3 2" xfId="6532"/>
    <cellStyle name="40% - Accent2 3 2 6 3 2 2" xfId="12774"/>
    <cellStyle name="40% - Accent2 3 2 6 3 2 3" xfId="18929"/>
    <cellStyle name="40% - Accent2 3 2 6 3 2 4" xfId="25056"/>
    <cellStyle name="40% - Accent2 3 2 6 3 3" xfId="9687"/>
    <cellStyle name="40% - Accent2 3 2 6 3 4" xfId="15852"/>
    <cellStyle name="40% - Accent2 3 2 6 3 5" xfId="21980"/>
    <cellStyle name="40% - Accent2 3 2 6 4" xfId="5020"/>
    <cellStyle name="40% - Accent2 3 2 6 4 2" xfId="11263"/>
    <cellStyle name="40% - Accent2 3 2 6 4 3" xfId="17418"/>
    <cellStyle name="40% - Accent2 3 2 6 4 4" xfId="23545"/>
    <cellStyle name="40% - Accent2 3 2 6 5" xfId="8178"/>
    <cellStyle name="40% - Accent2 3 2 6 6" xfId="14500"/>
    <cellStyle name="40% - Accent2 3 2 6 7" xfId="21174"/>
    <cellStyle name="40% - Accent2 3 2 7" xfId="3402"/>
    <cellStyle name="40% - Accent2 3 2 7 2" xfId="6534"/>
    <cellStyle name="40% - Accent2 3 2 7 2 2" xfId="12776"/>
    <cellStyle name="40% - Accent2 3 2 7 2 3" xfId="18931"/>
    <cellStyle name="40% - Accent2 3 2 7 2 4" xfId="25058"/>
    <cellStyle name="40% - Accent2 3 2 7 3" xfId="9689"/>
    <cellStyle name="40% - Accent2 3 2 7 4" xfId="15854"/>
    <cellStyle name="40% - Accent2 3 2 7 5" xfId="21982"/>
    <cellStyle name="40% - Accent2 3 2 8" xfId="3403"/>
    <cellStyle name="40% - Accent2 3 2 8 2" xfId="6535"/>
    <cellStyle name="40% - Accent2 3 2 8 2 2" xfId="12777"/>
    <cellStyle name="40% - Accent2 3 2 8 2 3" xfId="18932"/>
    <cellStyle name="40% - Accent2 3 2 8 2 4" xfId="25059"/>
    <cellStyle name="40% - Accent2 3 2 8 3" xfId="9690"/>
    <cellStyle name="40% - Accent2 3 2 8 4" xfId="15855"/>
    <cellStyle name="40% - Accent2 3 2 8 5" xfId="21983"/>
    <cellStyle name="40% - Accent2 3 2 9" xfId="3386"/>
    <cellStyle name="40% - Accent2 3 2 9 2" xfId="6518"/>
    <cellStyle name="40% - Accent2 3 2 9 2 2" xfId="12760"/>
    <cellStyle name="40% - Accent2 3 2 9 2 3" xfId="18915"/>
    <cellStyle name="40% - Accent2 3 2 9 2 4" xfId="25042"/>
    <cellStyle name="40% - Accent2 3 2 9 3" xfId="9673"/>
    <cellStyle name="40% - Accent2 3 2 9 4" xfId="15838"/>
    <cellStyle name="40% - Accent2 3 2 9 5" xfId="21966"/>
    <cellStyle name="40% - Accent2 3 3" xfId="2019"/>
    <cellStyle name="40% - Accent2 3 3 10" xfId="20696"/>
    <cellStyle name="40% - Accent2 3 3 2" xfId="2405"/>
    <cellStyle name="40% - Accent2 3 3 2 2" xfId="3406"/>
    <cellStyle name="40% - Accent2 3 3 2 2 2" xfId="6538"/>
    <cellStyle name="40% - Accent2 3 3 2 2 2 2" xfId="12780"/>
    <cellStyle name="40% - Accent2 3 3 2 2 2 3" xfId="18935"/>
    <cellStyle name="40% - Accent2 3 3 2 2 2 4" xfId="25062"/>
    <cellStyle name="40% - Accent2 3 3 2 2 3" xfId="9693"/>
    <cellStyle name="40% - Accent2 3 3 2 2 4" xfId="15858"/>
    <cellStyle name="40% - Accent2 3 3 2 2 5" xfId="21986"/>
    <cellStyle name="40% - Accent2 3 3 2 3" xfId="3405"/>
    <cellStyle name="40% - Accent2 3 3 2 3 2" xfId="6537"/>
    <cellStyle name="40% - Accent2 3 3 2 3 2 2" xfId="12779"/>
    <cellStyle name="40% - Accent2 3 3 2 3 2 3" xfId="18934"/>
    <cellStyle name="40% - Accent2 3 3 2 3 2 4" xfId="25061"/>
    <cellStyle name="40% - Accent2 3 3 2 3 3" xfId="9692"/>
    <cellStyle name="40% - Accent2 3 3 2 3 4" xfId="15857"/>
    <cellStyle name="40% - Accent2 3 3 2 3 5" xfId="21985"/>
    <cellStyle name="40% - Accent2 3 3 2 4" xfId="5718"/>
    <cellStyle name="40% - Accent2 3 3 2 4 2" xfId="11960"/>
    <cellStyle name="40% - Accent2 3 3 2 4 3" xfId="18115"/>
    <cellStyle name="40% - Accent2 3 3 2 4 4" xfId="24242"/>
    <cellStyle name="40% - Accent2 3 3 2 5" xfId="8872"/>
    <cellStyle name="40% - Accent2 3 3 2 6" xfId="14502"/>
    <cellStyle name="40% - Accent2 3 3 2 7" xfId="21052"/>
    <cellStyle name="40% - Accent2 3 3 3" xfId="2230"/>
    <cellStyle name="40% - Accent2 3 3 3 2" xfId="3408"/>
    <cellStyle name="40% - Accent2 3 3 3 2 2" xfId="6540"/>
    <cellStyle name="40% - Accent2 3 3 3 2 2 2" xfId="12782"/>
    <cellStyle name="40% - Accent2 3 3 3 2 2 3" xfId="18937"/>
    <cellStyle name="40% - Accent2 3 3 3 2 2 4" xfId="25064"/>
    <cellStyle name="40% - Accent2 3 3 3 2 3" xfId="9695"/>
    <cellStyle name="40% - Accent2 3 3 3 2 4" xfId="15860"/>
    <cellStyle name="40% - Accent2 3 3 3 2 5" xfId="21988"/>
    <cellStyle name="40% - Accent2 3 3 3 3" xfId="3407"/>
    <cellStyle name="40% - Accent2 3 3 3 3 2" xfId="6539"/>
    <cellStyle name="40% - Accent2 3 3 3 3 2 2" xfId="12781"/>
    <cellStyle name="40% - Accent2 3 3 3 3 2 3" xfId="18936"/>
    <cellStyle name="40% - Accent2 3 3 3 3 2 4" xfId="25063"/>
    <cellStyle name="40% - Accent2 3 3 3 3 3" xfId="9694"/>
    <cellStyle name="40% - Accent2 3 3 3 3 4" xfId="15859"/>
    <cellStyle name="40% - Accent2 3 3 3 3 5" xfId="21987"/>
    <cellStyle name="40% - Accent2 3 3 3 4" xfId="5543"/>
    <cellStyle name="40% - Accent2 3 3 3 4 2" xfId="11785"/>
    <cellStyle name="40% - Accent2 3 3 3 4 3" xfId="17940"/>
    <cellStyle name="40% - Accent2 3 3 3 4 4" xfId="24067"/>
    <cellStyle name="40% - Accent2 3 3 3 5" xfId="8697"/>
    <cellStyle name="40% - Accent2 3 3 3 6" xfId="14503"/>
    <cellStyle name="40% - Accent2 3 3 3 7" xfId="20877"/>
    <cellStyle name="40% - Accent2 3 3 4" xfId="3409"/>
    <cellStyle name="40% - Accent2 3 3 4 2" xfId="6541"/>
    <cellStyle name="40% - Accent2 3 3 4 2 2" xfId="12783"/>
    <cellStyle name="40% - Accent2 3 3 4 2 3" xfId="18938"/>
    <cellStyle name="40% - Accent2 3 3 4 2 4" xfId="25065"/>
    <cellStyle name="40% - Accent2 3 3 4 3" xfId="9696"/>
    <cellStyle name="40% - Accent2 3 3 4 4" xfId="15861"/>
    <cellStyle name="40% - Accent2 3 3 4 5" xfId="21989"/>
    <cellStyle name="40% - Accent2 3 3 5" xfId="3410"/>
    <cellStyle name="40% - Accent2 3 3 5 2" xfId="6542"/>
    <cellStyle name="40% - Accent2 3 3 5 2 2" xfId="12784"/>
    <cellStyle name="40% - Accent2 3 3 5 2 3" xfId="18939"/>
    <cellStyle name="40% - Accent2 3 3 5 2 4" xfId="25066"/>
    <cellStyle name="40% - Accent2 3 3 5 3" xfId="9697"/>
    <cellStyle name="40% - Accent2 3 3 5 4" xfId="15862"/>
    <cellStyle name="40% - Accent2 3 3 5 5" xfId="21990"/>
    <cellStyle name="40% - Accent2 3 3 6" xfId="3404"/>
    <cellStyle name="40% - Accent2 3 3 6 2" xfId="6536"/>
    <cellStyle name="40% - Accent2 3 3 6 2 2" xfId="12778"/>
    <cellStyle name="40% - Accent2 3 3 6 2 3" xfId="18933"/>
    <cellStyle name="40% - Accent2 3 3 6 2 4" xfId="25060"/>
    <cellStyle name="40% - Accent2 3 3 6 3" xfId="9691"/>
    <cellStyle name="40% - Accent2 3 3 6 4" xfId="15856"/>
    <cellStyle name="40% - Accent2 3 3 6 5" xfId="21984"/>
    <cellStyle name="40% - Accent2 3 3 7" xfId="5361"/>
    <cellStyle name="40% - Accent2 3 3 7 2" xfId="11603"/>
    <cellStyle name="40% - Accent2 3 3 7 3" xfId="17758"/>
    <cellStyle name="40% - Accent2 3 3 7 4" xfId="23885"/>
    <cellStyle name="40% - Accent2 3 3 8" xfId="8516"/>
    <cellStyle name="40% - Accent2 3 3 9" xfId="14501"/>
    <cellStyle name="40% - Accent2 3 4" xfId="2322"/>
    <cellStyle name="40% - Accent2 3 4 2" xfId="3412"/>
    <cellStyle name="40% - Accent2 3 4 2 2" xfId="6544"/>
    <cellStyle name="40% - Accent2 3 4 2 2 2" xfId="12786"/>
    <cellStyle name="40% - Accent2 3 4 2 2 3" xfId="18941"/>
    <cellStyle name="40% - Accent2 3 4 2 2 4" xfId="25068"/>
    <cellStyle name="40% - Accent2 3 4 2 3" xfId="9699"/>
    <cellStyle name="40% - Accent2 3 4 2 4" xfId="15864"/>
    <cellStyle name="40% - Accent2 3 4 2 5" xfId="21992"/>
    <cellStyle name="40% - Accent2 3 4 3" xfId="3411"/>
    <cellStyle name="40% - Accent2 3 4 3 2" xfId="6543"/>
    <cellStyle name="40% - Accent2 3 4 3 2 2" xfId="12785"/>
    <cellStyle name="40% - Accent2 3 4 3 2 3" xfId="18940"/>
    <cellStyle name="40% - Accent2 3 4 3 2 4" xfId="25067"/>
    <cellStyle name="40% - Accent2 3 4 3 3" xfId="9698"/>
    <cellStyle name="40% - Accent2 3 4 3 4" xfId="15863"/>
    <cellStyle name="40% - Accent2 3 4 3 5" xfId="21991"/>
    <cellStyle name="40% - Accent2 3 4 4" xfId="5635"/>
    <cellStyle name="40% - Accent2 3 4 4 2" xfId="11877"/>
    <cellStyle name="40% - Accent2 3 4 4 3" xfId="18032"/>
    <cellStyle name="40% - Accent2 3 4 4 4" xfId="24159"/>
    <cellStyle name="40% - Accent2 3 4 5" xfId="8789"/>
    <cellStyle name="40% - Accent2 3 4 6" xfId="14504"/>
    <cellStyle name="40% - Accent2 3 4 7" xfId="20969"/>
    <cellStyle name="40% - Accent2 3 5" xfId="2155"/>
    <cellStyle name="40% - Accent2 3 5 2" xfId="3414"/>
    <cellStyle name="40% - Accent2 3 5 2 2" xfId="6546"/>
    <cellStyle name="40% - Accent2 3 5 2 2 2" xfId="12788"/>
    <cellStyle name="40% - Accent2 3 5 2 2 3" xfId="18943"/>
    <cellStyle name="40% - Accent2 3 5 2 2 4" xfId="25070"/>
    <cellStyle name="40% - Accent2 3 5 2 3" xfId="9701"/>
    <cellStyle name="40% - Accent2 3 5 2 4" xfId="15866"/>
    <cellStyle name="40% - Accent2 3 5 2 5" xfId="21994"/>
    <cellStyle name="40% - Accent2 3 5 3" xfId="3413"/>
    <cellStyle name="40% - Accent2 3 5 3 2" xfId="6545"/>
    <cellStyle name="40% - Accent2 3 5 3 2 2" xfId="12787"/>
    <cellStyle name="40% - Accent2 3 5 3 2 3" xfId="18942"/>
    <cellStyle name="40% - Accent2 3 5 3 2 4" xfId="25069"/>
    <cellStyle name="40% - Accent2 3 5 3 3" xfId="9700"/>
    <cellStyle name="40% - Accent2 3 5 3 4" xfId="15865"/>
    <cellStyle name="40% - Accent2 3 5 3 5" xfId="21993"/>
    <cellStyle name="40% - Accent2 3 5 4" xfId="5468"/>
    <cellStyle name="40% - Accent2 3 5 4 2" xfId="11710"/>
    <cellStyle name="40% - Accent2 3 5 4 3" xfId="17865"/>
    <cellStyle name="40% - Accent2 3 5 4 4" xfId="23992"/>
    <cellStyle name="40% - Accent2 3 5 5" xfId="8622"/>
    <cellStyle name="40% - Accent2 3 5 6" xfId="14505"/>
    <cellStyle name="40% - Accent2 3 5 7" xfId="20802"/>
    <cellStyle name="40% - Accent2 3 6" xfId="792"/>
    <cellStyle name="40% - Accent2 3 6 2" xfId="3416"/>
    <cellStyle name="40% - Accent2 3 6 2 2" xfId="6548"/>
    <cellStyle name="40% - Accent2 3 6 2 2 2" xfId="12790"/>
    <cellStyle name="40% - Accent2 3 6 2 2 3" xfId="18945"/>
    <cellStyle name="40% - Accent2 3 6 2 2 4" xfId="25072"/>
    <cellStyle name="40% - Accent2 3 6 2 3" xfId="9703"/>
    <cellStyle name="40% - Accent2 3 6 2 4" xfId="15868"/>
    <cellStyle name="40% - Accent2 3 6 2 5" xfId="21996"/>
    <cellStyle name="40% - Accent2 3 6 3" xfId="3415"/>
    <cellStyle name="40% - Accent2 3 6 3 2" xfId="6547"/>
    <cellStyle name="40% - Accent2 3 6 3 2 2" xfId="12789"/>
    <cellStyle name="40% - Accent2 3 6 3 2 3" xfId="18944"/>
    <cellStyle name="40% - Accent2 3 6 3 2 4" xfId="25071"/>
    <cellStyle name="40% - Accent2 3 6 3 3" xfId="9702"/>
    <cellStyle name="40% - Accent2 3 6 3 4" xfId="15867"/>
    <cellStyle name="40% - Accent2 3 6 3 5" xfId="21995"/>
    <cellStyle name="40% - Accent2 3 6 4" xfId="5141"/>
    <cellStyle name="40% - Accent2 3 6 4 2" xfId="11384"/>
    <cellStyle name="40% - Accent2 3 6 4 3" xfId="17539"/>
    <cellStyle name="40% - Accent2 3 6 4 4" xfId="23666"/>
    <cellStyle name="40% - Accent2 3 6 5" xfId="8298"/>
    <cellStyle name="40% - Accent2 3 6 6" xfId="14506"/>
    <cellStyle name="40% - Accent2 3 6 7" xfId="20481"/>
    <cellStyle name="40% - Accent2 3 7" xfId="239"/>
    <cellStyle name="40% - Accent2 3 7 2" xfId="3418"/>
    <cellStyle name="40% - Accent2 3 7 2 2" xfId="6550"/>
    <cellStyle name="40% - Accent2 3 7 2 2 2" xfId="12792"/>
    <cellStyle name="40% - Accent2 3 7 2 2 3" xfId="18947"/>
    <cellStyle name="40% - Accent2 3 7 2 2 4" xfId="25074"/>
    <cellStyle name="40% - Accent2 3 7 2 3" xfId="9705"/>
    <cellStyle name="40% - Accent2 3 7 2 4" xfId="15870"/>
    <cellStyle name="40% - Accent2 3 7 2 5" xfId="21998"/>
    <cellStyle name="40% - Accent2 3 7 3" xfId="3417"/>
    <cellStyle name="40% - Accent2 3 7 3 2" xfId="6549"/>
    <cellStyle name="40% - Accent2 3 7 3 2 2" xfId="12791"/>
    <cellStyle name="40% - Accent2 3 7 3 2 3" xfId="18946"/>
    <cellStyle name="40% - Accent2 3 7 3 2 4" xfId="25073"/>
    <cellStyle name="40% - Accent2 3 7 3 3" xfId="9704"/>
    <cellStyle name="40% - Accent2 3 7 3 4" xfId="15869"/>
    <cellStyle name="40% - Accent2 3 7 3 5" xfId="21997"/>
    <cellStyle name="40% - Accent2 3 7 4" xfId="5019"/>
    <cellStyle name="40% - Accent2 3 7 4 2" xfId="11262"/>
    <cellStyle name="40% - Accent2 3 7 4 3" xfId="17417"/>
    <cellStyle name="40% - Accent2 3 7 4 4" xfId="23544"/>
    <cellStyle name="40% - Accent2 3 7 5" xfId="8177"/>
    <cellStyle name="40% - Accent2 3 7 6" xfId="14507"/>
    <cellStyle name="40% - Accent2 3 7 7" xfId="21173"/>
    <cellStyle name="40% - Accent2 3 8" xfId="3419"/>
    <cellStyle name="40% - Accent2 3 8 2" xfId="6551"/>
    <cellStyle name="40% - Accent2 3 8 2 2" xfId="12793"/>
    <cellStyle name="40% - Accent2 3 8 2 3" xfId="18948"/>
    <cellStyle name="40% - Accent2 3 8 2 4" xfId="25075"/>
    <cellStyle name="40% - Accent2 3 8 3" xfId="9706"/>
    <cellStyle name="40% - Accent2 3 8 4" xfId="15871"/>
    <cellStyle name="40% - Accent2 3 8 5" xfId="21999"/>
    <cellStyle name="40% - Accent2 3 9" xfId="3420"/>
    <cellStyle name="40% - Accent2 3 9 2" xfId="6552"/>
    <cellStyle name="40% - Accent2 3 9 2 2" xfId="12794"/>
    <cellStyle name="40% - Accent2 3 9 2 3" xfId="18949"/>
    <cellStyle name="40% - Accent2 3 9 2 4" xfId="25076"/>
    <cellStyle name="40% - Accent2 3 9 3" xfId="9707"/>
    <cellStyle name="40% - Accent2 3 9 4" xfId="15872"/>
    <cellStyle name="40% - Accent2 3 9 5" xfId="22000"/>
    <cellStyle name="40% - Accent2 4" xfId="78"/>
    <cellStyle name="40% - Accent2 4 2" xfId="79"/>
    <cellStyle name="40% - Accent2 4 2 10" xfId="4929"/>
    <cellStyle name="40% - Accent2 4 2 10 2" xfId="11173"/>
    <cellStyle name="40% - Accent2 4 2 10 3" xfId="17328"/>
    <cellStyle name="40% - Accent2 4 2 10 4" xfId="23455"/>
    <cellStyle name="40% - Accent2 4 2 11" xfId="8087"/>
    <cellStyle name="40% - Accent2 4 2 12" xfId="14508"/>
    <cellStyle name="40% - Accent2 4 2 13" xfId="20367"/>
    <cellStyle name="40% - Accent2 4 2 2" xfId="2021"/>
    <cellStyle name="40% - Accent2 4 2 2 10" xfId="20698"/>
    <cellStyle name="40% - Accent2 4 2 2 2" xfId="2407"/>
    <cellStyle name="40% - Accent2 4 2 2 2 2" xfId="3424"/>
    <cellStyle name="40% - Accent2 4 2 2 2 2 2" xfId="6556"/>
    <cellStyle name="40% - Accent2 4 2 2 2 2 2 2" xfId="12798"/>
    <cellStyle name="40% - Accent2 4 2 2 2 2 2 3" xfId="18953"/>
    <cellStyle name="40% - Accent2 4 2 2 2 2 2 4" xfId="25080"/>
    <cellStyle name="40% - Accent2 4 2 2 2 2 3" xfId="9711"/>
    <cellStyle name="40% - Accent2 4 2 2 2 2 4" xfId="15876"/>
    <cellStyle name="40% - Accent2 4 2 2 2 2 5" xfId="22004"/>
    <cellStyle name="40% - Accent2 4 2 2 2 3" xfId="3423"/>
    <cellStyle name="40% - Accent2 4 2 2 2 3 2" xfId="6555"/>
    <cellStyle name="40% - Accent2 4 2 2 2 3 2 2" xfId="12797"/>
    <cellStyle name="40% - Accent2 4 2 2 2 3 2 3" xfId="18952"/>
    <cellStyle name="40% - Accent2 4 2 2 2 3 2 4" xfId="25079"/>
    <cellStyle name="40% - Accent2 4 2 2 2 3 3" xfId="9710"/>
    <cellStyle name="40% - Accent2 4 2 2 2 3 4" xfId="15875"/>
    <cellStyle name="40% - Accent2 4 2 2 2 3 5" xfId="22003"/>
    <cellStyle name="40% - Accent2 4 2 2 2 4" xfId="5720"/>
    <cellStyle name="40% - Accent2 4 2 2 2 4 2" xfId="11962"/>
    <cellStyle name="40% - Accent2 4 2 2 2 4 3" xfId="18117"/>
    <cellStyle name="40% - Accent2 4 2 2 2 4 4" xfId="24244"/>
    <cellStyle name="40% - Accent2 4 2 2 2 5" xfId="8874"/>
    <cellStyle name="40% - Accent2 4 2 2 2 6" xfId="14510"/>
    <cellStyle name="40% - Accent2 4 2 2 2 7" xfId="21054"/>
    <cellStyle name="40% - Accent2 4 2 2 3" xfId="2232"/>
    <cellStyle name="40% - Accent2 4 2 2 3 2" xfId="3426"/>
    <cellStyle name="40% - Accent2 4 2 2 3 2 2" xfId="6558"/>
    <cellStyle name="40% - Accent2 4 2 2 3 2 2 2" xfId="12800"/>
    <cellStyle name="40% - Accent2 4 2 2 3 2 2 3" xfId="18955"/>
    <cellStyle name="40% - Accent2 4 2 2 3 2 2 4" xfId="25082"/>
    <cellStyle name="40% - Accent2 4 2 2 3 2 3" xfId="9713"/>
    <cellStyle name="40% - Accent2 4 2 2 3 2 4" xfId="15878"/>
    <cellStyle name="40% - Accent2 4 2 2 3 2 5" xfId="22006"/>
    <cellStyle name="40% - Accent2 4 2 2 3 3" xfId="3425"/>
    <cellStyle name="40% - Accent2 4 2 2 3 3 2" xfId="6557"/>
    <cellStyle name="40% - Accent2 4 2 2 3 3 2 2" xfId="12799"/>
    <cellStyle name="40% - Accent2 4 2 2 3 3 2 3" xfId="18954"/>
    <cellStyle name="40% - Accent2 4 2 2 3 3 2 4" xfId="25081"/>
    <cellStyle name="40% - Accent2 4 2 2 3 3 3" xfId="9712"/>
    <cellStyle name="40% - Accent2 4 2 2 3 3 4" xfId="15877"/>
    <cellStyle name="40% - Accent2 4 2 2 3 3 5" xfId="22005"/>
    <cellStyle name="40% - Accent2 4 2 2 3 4" xfId="5545"/>
    <cellStyle name="40% - Accent2 4 2 2 3 4 2" xfId="11787"/>
    <cellStyle name="40% - Accent2 4 2 2 3 4 3" xfId="17942"/>
    <cellStyle name="40% - Accent2 4 2 2 3 4 4" xfId="24069"/>
    <cellStyle name="40% - Accent2 4 2 2 3 5" xfId="8699"/>
    <cellStyle name="40% - Accent2 4 2 2 3 6" xfId="14511"/>
    <cellStyle name="40% - Accent2 4 2 2 3 7" xfId="20879"/>
    <cellStyle name="40% - Accent2 4 2 2 4" xfId="3427"/>
    <cellStyle name="40% - Accent2 4 2 2 4 2" xfId="6559"/>
    <cellStyle name="40% - Accent2 4 2 2 4 2 2" xfId="12801"/>
    <cellStyle name="40% - Accent2 4 2 2 4 2 3" xfId="18956"/>
    <cellStyle name="40% - Accent2 4 2 2 4 2 4" xfId="25083"/>
    <cellStyle name="40% - Accent2 4 2 2 4 3" xfId="9714"/>
    <cellStyle name="40% - Accent2 4 2 2 4 4" xfId="15879"/>
    <cellStyle name="40% - Accent2 4 2 2 4 5" xfId="22007"/>
    <cellStyle name="40% - Accent2 4 2 2 5" xfId="3428"/>
    <cellStyle name="40% - Accent2 4 2 2 5 2" xfId="6560"/>
    <cellStyle name="40% - Accent2 4 2 2 5 2 2" xfId="12802"/>
    <cellStyle name="40% - Accent2 4 2 2 5 2 3" xfId="18957"/>
    <cellStyle name="40% - Accent2 4 2 2 5 2 4" xfId="25084"/>
    <cellStyle name="40% - Accent2 4 2 2 5 3" xfId="9715"/>
    <cellStyle name="40% - Accent2 4 2 2 5 4" xfId="15880"/>
    <cellStyle name="40% - Accent2 4 2 2 5 5" xfId="22008"/>
    <cellStyle name="40% - Accent2 4 2 2 6" xfId="3422"/>
    <cellStyle name="40% - Accent2 4 2 2 6 2" xfId="6554"/>
    <cellStyle name="40% - Accent2 4 2 2 6 2 2" xfId="12796"/>
    <cellStyle name="40% - Accent2 4 2 2 6 2 3" xfId="18951"/>
    <cellStyle name="40% - Accent2 4 2 2 6 2 4" xfId="25078"/>
    <cellStyle name="40% - Accent2 4 2 2 6 3" xfId="9709"/>
    <cellStyle name="40% - Accent2 4 2 2 6 4" xfId="15874"/>
    <cellStyle name="40% - Accent2 4 2 2 6 5" xfId="22002"/>
    <cellStyle name="40% - Accent2 4 2 2 7" xfId="5363"/>
    <cellStyle name="40% - Accent2 4 2 2 7 2" xfId="11605"/>
    <cellStyle name="40% - Accent2 4 2 2 7 3" xfId="17760"/>
    <cellStyle name="40% - Accent2 4 2 2 7 4" xfId="23887"/>
    <cellStyle name="40% - Accent2 4 2 2 8" xfId="8518"/>
    <cellStyle name="40% - Accent2 4 2 2 9" xfId="14509"/>
    <cellStyle name="40% - Accent2 4 2 3" xfId="2324"/>
    <cellStyle name="40% - Accent2 4 2 3 2" xfId="3430"/>
    <cellStyle name="40% - Accent2 4 2 3 2 2" xfId="6562"/>
    <cellStyle name="40% - Accent2 4 2 3 2 2 2" xfId="12804"/>
    <cellStyle name="40% - Accent2 4 2 3 2 2 3" xfId="18959"/>
    <cellStyle name="40% - Accent2 4 2 3 2 2 4" xfId="25086"/>
    <cellStyle name="40% - Accent2 4 2 3 2 3" xfId="9717"/>
    <cellStyle name="40% - Accent2 4 2 3 2 4" xfId="15882"/>
    <cellStyle name="40% - Accent2 4 2 3 2 5" xfId="22010"/>
    <cellStyle name="40% - Accent2 4 2 3 3" xfId="3429"/>
    <cellStyle name="40% - Accent2 4 2 3 3 2" xfId="6561"/>
    <cellStyle name="40% - Accent2 4 2 3 3 2 2" xfId="12803"/>
    <cellStyle name="40% - Accent2 4 2 3 3 2 3" xfId="18958"/>
    <cellStyle name="40% - Accent2 4 2 3 3 2 4" xfId="25085"/>
    <cellStyle name="40% - Accent2 4 2 3 3 3" xfId="9716"/>
    <cellStyle name="40% - Accent2 4 2 3 3 4" xfId="15881"/>
    <cellStyle name="40% - Accent2 4 2 3 3 5" xfId="22009"/>
    <cellStyle name="40% - Accent2 4 2 3 4" xfId="5637"/>
    <cellStyle name="40% - Accent2 4 2 3 4 2" xfId="11879"/>
    <cellStyle name="40% - Accent2 4 2 3 4 3" xfId="18034"/>
    <cellStyle name="40% - Accent2 4 2 3 4 4" xfId="24161"/>
    <cellStyle name="40% - Accent2 4 2 3 5" xfId="8791"/>
    <cellStyle name="40% - Accent2 4 2 3 6" xfId="14512"/>
    <cellStyle name="40% - Accent2 4 2 3 7" xfId="20971"/>
    <cellStyle name="40% - Accent2 4 2 4" xfId="2157"/>
    <cellStyle name="40% - Accent2 4 2 4 2" xfId="3432"/>
    <cellStyle name="40% - Accent2 4 2 4 2 2" xfId="6564"/>
    <cellStyle name="40% - Accent2 4 2 4 2 2 2" xfId="12806"/>
    <cellStyle name="40% - Accent2 4 2 4 2 2 3" xfId="18961"/>
    <cellStyle name="40% - Accent2 4 2 4 2 2 4" xfId="25088"/>
    <cellStyle name="40% - Accent2 4 2 4 2 3" xfId="9719"/>
    <cellStyle name="40% - Accent2 4 2 4 2 4" xfId="15884"/>
    <cellStyle name="40% - Accent2 4 2 4 2 5" xfId="22012"/>
    <cellStyle name="40% - Accent2 4 2 4 3" xfId="3431"/>
    <cellStyle name="40% - Accent2 4 2 4 3 2" xfId="6563"/>
    <cellStyle name="40% - Accent2 4 2 4 3 2 2" xfId="12805"/>
    <cellStyle name="40% - Accent2 4 2 4 3 2 3" xfId="18960"/>
    <cellStyle name="40% - Accent2 4 2 4 3 2 4" xfId="25087"/>
    <cellStyle name="40% - Accent2 4 2 4 3 3" xfId="9718"/>
    <cellStyle name="40% - Accent2 4 2 4 3 4" xfId="15883"/>
    <cellStyle name="40% - Accent2 4 2 4 3 5" xfId="22011"/>
    <cellStyle name="40% - Accent2 4 2 4 4" xfId="5470"/>
    <cellStyle name="40% - Accent2 4 2 4 4 2" xfId="11712"/>
    <cellStyle name="40% - Accent2 4 2 4 4 3" xfId="17867"/>
    <cellStyle name="40% - Accent2 4 2 4 4 4" xfId="23994"/>
    <cellStyle name="40% - Accent2 4 2 4 5" xfId="8624"/>
    <cellStyle name="40% - Accent2 4 2 4 6" xfId="14513"/>
    <cellStyle name="40% - Accent2 4 2 4 7" xfId="20804"/>
    <cellStyle name="40% - Accent2 4 2 5" xfId="794"/>
    <cellStyle name="40% - Accent2 4 2 5 2" xfId="3434"/>
    <cellStyle name="40% - Accent2 4 2 5 2 2" xfId="6566"/>
    <cellStyle name="40% - Accent2 4 2 5 2 2 2" xfId="12808"/>
    <cellStyle name="40% - Accent2 4 2 5 2 2 3" xfId="18963"/>
    <cellStyle name="40% - Accent2 4 2 5 2 2 4" xfId="25090"/>
    <cellStyle name="40% - Accent2 4 2 5 2 3" xfId="9721"/>
    <cellStyle name="40% - Accent2 4 2 5 2 4" xfId="15886"/>
    <cellStyle name="40% - Accent2 4 2 5 2 5" xfId="22014"/>
    <cellStyle name="40% - Accent2 4 2 5 3" xfId="3433"/>
    <cellStyle name="40% - Accent2 4 2 5 3 2" xfId="6565"/>
    <cellStyle name="40% - Accent2 4 2 5 3 2 2" xfId="12807"/>
    <cellStyle name="40% - Accent2 4 2 5 3 2 3" xfId="18962"/>
    <cellStyle name="40% - Accent2 4 2 5 3 2 4" xfId="25089"/>
    <cellStyle name="40% - Accent2 4 2 5 3 3" xfId="9720"/>
    <cellStyle name="40% - Accent2 4 2 5 3 4" xfId="15885"/>
    <cellStyle name="40% - Accent2 4 2 5 3 5" xfId="22013"/>
    <cellStyle name="40% - Accent2 4 2 5 4" xfId="5143"/>
    <cellStyle name="40% - Accent2 4 2 5 4 2" xfId="11386"/>
    <cellStyle name="40% - Accent2 4 2 5 4 3" xfId="17541"/>
    <cellStyle name="40% - Accent2 4 2 5 4 4" xfId="23668"/>
    <cellStyle name="40% - Accent2 4 2 5 5" xfId="8300"/>
    <cellStyle name="40% - Accent2 4 2 5 6" xfId="14514"/>
    <cellStyle name="40% - Accent2 4 2 5 7" xfId="20483"/>
    <cellStyle name="40% - Accent2 4 2 6" xfId="241"/>
    <cellStyle name="40% - Accent2 4 2 6 2" xfId="3436"/>
    <cellStyle name="40% - Accent2 4 2 6 2 2" xfId="6568"/>
    <cellStyle name="40% - Accent2 4 2 6 2 2 2" xfId="12810"/>
    <cellStyle name="40% - Accent2 4 2 6 2 2 3" xfId="18965"/>
    <cellStyle name="40% - Accent2 4 2 6 2 2 4" xfId="25092"/>
    <cellStyle name="40% - Accent2 4 2 6 2 3" xfId="9723"/>
    <cellStyle name="40% - Accent2 4 2 6 2 4" xfId="15888"/>
    <cellStyle name="40% - Accent2 4 2 6 2 5" xfId="22016"/>
    <cellStyle name="40% - Accent2 4 2 6 3" xfId="3435"/>
    <cellStyle name="40% - Accent2 4 2 6 3 2" xfId="6567"/>
    <cellStyle name="40% - Accent2 4 2 6 3 2 2" xfId="12809"/>
    <cellStyle name="40% - Accent2 4 2 6 3 2 3" xfId="18964"/>
    <cellStyle name="40% - Accent2 4 2 6 3 2 4" xfId="25091"/>
    <cellStyle name="40% - Accent2 4 2 6 3 3" xfId="9722"/>
    <cellStyle name="40% - Accent2 4 2 6 3 4" xfId="15887"/>
    <cellStyle name="40% - Accent2 4 2 6 3 5" xfId="22015"/>
    <cellStyle name="40% - Accent2 4 2 6 4" xfId="5021"/>
    <cellStyle name="40% - Accent2 4 2 6 4 2" xfId="11264"/>
    <cellStyle name="40% - Accent2 4 2 6 4 3" xfId="17419"/>
    <cellStyle name="40% - Accent2 4 2 6 4 4" xfId="23546"/>
    <cellStyle name="40% - Accent2 4 2 6 5" xfId="8179"/>
    <cellStyle name="40% - Accent2 4 2 6 6" xfId="14515"/>
    <cellStyle name="40% - Accent2 4 2 6 7" xfId="21175"/>
    <cellStyle name="40% - Accent2 4 2 7" xfId="3437"/>
    <cellStyle name="40% - Accent2 4 2 7 2" xfId="6569"/>
    <cellStyle name="40% - Accent2 4 2 7 2 2" xfId="12811"/>
    <cellStyle name="40% - Accent2 4 2 7 2 3" xfId="18966"/>
    <cellStyle name="40% - Accent2 4 2 7 2 4" xfId="25093"/>
    <cellStyle name="40% - Accent2 4 2 7 3" xfId="9724"/>
    <cellStyle name="40% - Accent2 4 2 7 4" xfId="15889"/>
    <cellStyle name="40% - Accent2 4 2 7 5" xfId="22017"/>
    <cellStyle name="40% - Accent2 4 2 8" xfId="3438"/>
    <cellStyle name="40% - Accent2 4 2 8 2" xfId="6570"/>
    <cellStyle name="40% - Accent2 4 2 8 2 2" xfId="12812"/>
    <cellStyle name="40% - Accent2 4 2 8 2 3" xfId="18967"/>
    <cellStyle name="40% - Accent2 4 2 8 2 4" xfId="25094"/>
    <cellStyle name="40% - Accent2 4 2 8 3" xfId="9725"/>
    <cellStyle name="40% - Accent2 4 2 8 4" xfId="15890"/>
    <cellStyle name="40% - Accent2 4 2 8 5" xfId="22018"/>
    <cellStyle name="40% - Accent2 4 2 9" xfId="3421"/>
    <cellStyle name="40% - Accent2 4 2 9 2" xfId="6553"/>
    <cellStyle name="40% - Accent2 4 2 9 2 2" xfId="12795"/>
    <cellStyle name="40% - Accent2 4 2 9 2 3" xfId="18950"/>
    <cellStyle name="40% - Accent2 4 2 9 2 4" xfId="25077"/>
    <cellStyle name="40% - Accent2 4 2 9 3" xfId="9708"/>
    <cellStyle name="40% - Accent2 4 2 9 4" xfId="15873"/>
    <cellStyle name="40% - Accent2 4 2 9 5" xfId="22001"/>
    <cellStyle name="40% - Accent2 5" xfId="470"/>
    <cellStyle name="40% - Accent2 5 2" xfId="3440"/>
    <cellStyle name="40% - Accent2 5 2 2" xfId="6572"/>
    <cellStyle name="40% - Accent2 5 2 2 2" xfId="12814"/>
    <cellStyle name="40% - Accent2 5 2 2 3" xfId="18969"/>
    <cellStyle name="40% - Accent2 5 2 2 4" xfId="25096"/>
    <cellStyle name="40% - Accent2 5 2 3" xfId="9727"/>
    <cellStyle name="40% - Accent2 5 2 4" xfId="15892"/>
    <cellStyle name="40% - Accent2 5 2 5" xfId="22020"/>
    <cellStyle name="40% - Accent2 5 3" xfId="3441"/>
    <cellStyle name="40% - Accent2 5 3 2" xfId="6573"/>
    <cellStyle name="40% - Accent2 5 3 2 2" xfId="12815"/>
    <cellStyle name="40% - Accent2 5 3 2 3" xfId="18970"/>
    <cellStyle name="40% - Accent2 5 3 2 4" xfId="25097"/>
    <cellStyle name="40% - Accent2 5 3 3" xfId="9728"/>
    <cellStyle name="40% - Accent2 5 3 4" xfId="15893"/>
    <cellStyle name="40% - Accent2 5 3 5" xfId="22021"/>
    <cellStyle name="40% - Accent2 5 4" xfId="3439"/>
    <cellStyle name="40% - Accent2 5 4 2" xfId="6571"/>
    <cellStyle name="40% - Accent2 5 4 2 2" xfId="12813"/>
    <cellStyle name="40% - Accent2 5 4 2 3" xfId="18968"/>
    <cellStyle name="40% - Accent2 5 4 2 4" xfId="25095"/>
    <cellStyle name="40% - Accent2 5 4 3" xfId="9726"/>
    <cellStyle name="40% - Accent2 5 4 4" xfId="15891"/>
    <cellStyle name="40% - Accent2 5 4 5" xfId="22019"/>
    <cellStyle name="40% - Accent2 5 5" xfId="5088"/>
    <cellStyle name="40% - Accent2 5 5 2" xfId="11331"/>
    <cellStyle name="40% - Accent2 5 5 3" xfId="17486"/>
    <cellStyle name="40% - Accent2 5 5 4" xfId="23613"/>
    <cellStyle name="40% - Accent2 5 6" xfId="8247"/>
    <cellStyle name="40% - Accent2 5 7" xfId="14516"/>
    <cellStyle name="40% - Accent2 5 8" xfId="20433"/>
    <cellStyle name="40% - Accent2 6" xfId="195"/>
    <cellStyle name="40% - Accent2 6 2" xfId="3443"/>
    <cellStyle name="40% - Accent2 6 2 2" xfId="6575"/>
    <cellStyle name="40% - Accent2 6 2 2 2" xfId="12817"/>
    <cellStyle name="40% - Accent2 6 2 2 3" xfId="18972"/>
    <cellStyle name="40% - Accent2 6 2 2 4" xfId="25099"/>
    <cellStyle name="40% - Accent2 6 2 3" xfId="9730"/>
    <cellStyle name="40% - Accent2 6 2 4" xfId="15895"/>
    <cellStyle name="40% - Accent2 6 2 5" xfId="22023"/>
    <cellStyle name="40% - Accent2 6 3" xfId="3442"/>
    <cellStyle name="40% - Accent2 6 3 2" xfId="6574"/>
    <cellStyle name="40% - Accent2 6 3 2 2" xfId="12816"/>
    <cellStyle name="40% - Accent2 6 3 2 3" xfId="18971"/>
    <cellStyle name="40% - Accent2 6 3 2 4" xfId="25098"/>
    <cellStyle name="40% - Accent2 6 3 3" xfId="9729"/>
    <cellStyle name="40% - Accent2 6 3 4" xfId="15894"/>
    <cellStyle name="40% - Accent2 6 3 5" xfId="22022"/>
    <cellStyle name="40% - Accent2 6 4" xfId="4976"/>
    <cellStyle name="40% - Accent2 6 4 2" xfId="11219"/>
    <cellStyle name="40% - Accent2 6 4 3" xfId="17374"/>
    <cellStyle name="40% - Accent2 6 4 4" xfId="23501"/>
    <cellStyle name="40% - Accent2 6 5" xfId="8134"/>
    <cellStyle name="40% - Accent2 6 6" xfId="15099"/>
    <cellStyle name="40% - Accent2 6 7" xfId="21227"/>
    <cellStyle name="40% - Accent2 7" xfId="3444"/>
    <cellStyle name="40% - Accent2 7 2" xfId="6576"/>
    <cellStyle name="40% - Accent2 7 2 2" xfId="12818"/>
    <cellStyle name="40% - Accent2 7 2 3" xfId="18973"/>
    <cellStyle name="40% - Accent2 7 2 4" xfId="25100"/>
    <cellStyle name="40% - Accent2 7 3" xfId="9731"/>
    <cellStyle name="40% - Accent2 7 4" xfId="15896"/>
    <cellStyle name="40% - Accent2 7 5" xfId="22024"/>
    <cellStyle name="40% - Accent2 8" xfId="4853"/>
    <cellStyle name="40% - Accent2 8 2" xfId="7898"/>
    <cellStyle name="40% - Accent2 8 2 2" xfId="14140"/>
    <cellStyle name="40% - Accent2 8 2 3" xfId="20295"/>
    <cellStyle name="40% - Accent2 8 2 4" xfId="26422"/>
    <cellStyle name="40% - Accent2 8 3" xfId="11109"/>
    <cellStyle name="40% - Accent2 8 4" xfId="17264"/>
    <cellStyle name="40% - Accent2 8 5" xfId="23391"/>
    <cellStyle name="40% - Accent2 9" xfId="4879"/>
    <cellStyle name="40% - Accent2 9 2" xfId="11125"/>
    <cellStyle name="40% - Accent2 9 3" xfId="17280"/>
    <cellStyle name="40% - Accent2 9 4" xfId="23407"/>
    <cellStyle name="40% - Accent3 10" xfId="15070"/>
    <cellStyle name="40% - Accent3 11" xfId="20323"/>
    <cellStyle name="40% - Accent3 2" xfId="80"/>
    <cellStyle name="40% - Accent3 2 10" xfId="3445"/>
    <cellStyle name="40% - Accent3 2 10 2" xfId="6577"/>
    <cellStyle name="40% - Accent3 2 10 2 2" xfId="12819"/>
    <cellStyle name="40% - Accent3 2 10 2 3" xfId="18974"/>
    <cellStyle name="40% - Accent3 2 10 2 4" xfId="25101"/>
    <cellStyle name="40% - Accent3 2 10 3" xfId="9732"/>
    <cellStyle name="40% - Accent3 2 10 4" xfId="15897"/>
    <cellStyle name="40% - Accent3 2 10 5" xfId="22025"/>
    <cellStyle name="40% - Accent3 2 11" xfId="4930"/>
    <cellStyle name="40% - Accent3 2 11 2" xfId="11174"/>
    <cellStyle name="40% - Accent3 2 11 3" xfId="17329"/>
    <cellStyle name="40% - Accent3 2 11 4" xfId="23456"/>
    <cellStyle name="40% - Accent3 2 12" xfId="8088"/>
    <cellStyle name="40% - Accent3 2 13" xfId="14517"/>
    <cellStyle name="40% - Accent3 2 14" xfId="20368"/>
    <cellStyle name="40% - Accent3 2 2" xfId="81"/>
    <cellStyle name="40% - Accent3 2 2 10" xfId="4931"/>
    <cellStyle name="40% - Accent3 2 2 10 2" xfId="11175"/>
    <cellStyle name="40% - Accent3 2 2 10 3" xfId="17330"/>
    <cellStyle name="40% - Accent3 2 2 10 4" xfId="23457"/>
    <cellStyle name="40% - Accent3 2 2 11" xfId="8089"/>
    <cellStyle name="40% - Accent3 2 2 12" xfId="14518"/>
    <cellStyle name="40% - Accent3 2 2 13" xfId="20369"/>
    <cellStyle name="40% - Accent3 2 2 2" xfId="2023"/>
    <cellStyle name="40% - Accent3 2 2 2 10" xfId="20700"/>
    <cellStyle name="40% - Accent3 2 2 2 2" xfId="2409"/>
    <cellStyle name="40% - Accent3 2 2 2 2 2" xfId="3449"/>
    <cellStyle name="40% - Accent3 2 2 2 2 2 2" xfId="6581"/>
    <cellStyle name="40% - Accent3 2 2 2 2 2 2 2" xfId="12823"/>
    <cellStyle name="40% - Accent3 2 2 2 2 2 2 3" xfId="18978"/>
    <cellStyle name="40% - Accent3 2 2 2 2 2 2 4" xfId="25105"/>
    <cellStyle name="40% - Accent3 2 2 2 2 2 3" xfId="9736"/>
    <cellStyle name="40% - Accent3 2 2 2 2 2 4" xfId="15901"/>
    <cellStyle name="40% - Accent3 2 2 2 2 2 5" xfId="22029"/>
    <cellStyle name="40% - Accent3 2 2 2 2 3" xfId="3448"/>
    <cellStyle name="40% - Accent3 2 2 2 2 3 2" xfId="6580"/>
    <cellStyle name="40% - Accent3 2 2 2 2 3 2 2" xfId="12822"/>
    <cellStyle name="40% - Accent3 2 2 2 2 3 2 3" xfId="18977"/>
    <cellStyle name="40% - Accent3 2 2 2 2 3 2 4" xfId="25104"/>
    <cellStyle name="40% - Accent3 2 2 2 2 3 3" xfId="9735"/>
    <cellStyle name="40% - Accent3 2 2 2 2 3 4" xfId="15900"/>
    <cellStyle name="40% - Accent3 2 2 2 2 3 5" xfId="22028"/>
    <cellStyle name="40% - Accent3 2 2 2 2 4" xfId="5722"/>
    <cellStyle name="40% - Accent3 2 2 2 2 4 2" xfId="11964"/>
    <cellStyle name="40% - Accent3 2 2 2 2 4 3" xfId="18119"/>
    <cellStyle name="40% - Accent3 2 2 2 2 4 4" xfId="24246"/>
    <cellStyle name="40% - Accent3 2 2 2 2 5" xfId="8876"/>
    <cellStyle name="40% - Accent3 2 2 2 2 6" xfId="14520"/>
    <cellStyle name="40% - Accent3 2 2 2 2 7" xfId="21056"/>
    <cellStyle name="40% - Accent3 2 2 2 3" xfId="2234"/>
    <cellStyle name="40% - Accent3 2 2 2 3 2" xfId="3451"/>
    <cellStyle name="40% - Accent3 2 2 2 3 2 2" xfId="6583"/>
    <cellStyle name="40% - Accent3 2 2 2 3 2 2 2" xfId="12825"/>
    <cellStyle name="40% - Accent3 2 2 2 3 2 2 3" xfId="18980"/>
    <cellStyle name="40% - Accent3 2 2 2 3 2 2 4" xfId="25107"/>
    <cellStyle name="40% - Accent3 2 2 2 3 2 3" xfId="9738"/>
    <cellStyle name="40% - Accent3 2 2 2 3 2 4" xfId="15903"/>
    <cellStyle name="40% - Accent3 2 2 2 3 2 5" xfId="22031"/>
    <cellStyle name="40% - Accent3 2 2 2 3 3" xfId="3450"/>
    <cellStyle name="40% - Accent3 2 2 2 3 3 2" xfId="6582"/>
    <cellStyle name="40% - Accent3 2 2 2 3 3 2 2" xfId="12824"/>
    <cellStyle name="40% - Accent3 2 2 2 3 3 2 3" xfId="18979"/>
    <cellStyle name="40% - Accent3 2 2 2 3 3 2 4" xfId="25106"/>
    <cellStyle name="40% - Accent3 2 2 2 3 3 3" xfId="9737"/>
    <cellStyle name="40% - Accent3 2 2 2 3 3 4" xfId="15902"/>
    <cellStyle name="40% - Accent3 2 2 2 3 3 5" xfId="22030"/>
    <cellStyle name="40% - Accent3 2 2 2 3 4" xfId="5547"/>
    <cellStyle name="40% - Accent3 2 2 2 3 4 2" xfId="11789"/>
    <cellStyle name="40% - Accent3 2 2 2 3 4 3" xfId="17944"/>
    <cellStyle name="40% - Accent3 2 2 2 3 4 4" xfId="24071"/>
    <cellStyle name="40% - Accent3 2 2 2 3 5" xfId="8701"/>
    <cellStyle name="40% - Accent3 2 2 2 3 6" xfId="14521"/>
    <cellStyle name="40% - Accent3 2 2 2 3 7" xfId="20881"/>
    <cellStyle name="40% - Accent3 2 2 2 4" xfId="3452"/>
    <cellStyle name="40% - Accent3 2 2 2 4 2" xfId="6584"/>
    <cellStyle name="40% - Accent3 2 2 2 4 2 2" xfId="12826"/>
    <cellStyle name="40% - Accent3 2 2 2 4 2 3" xfId="18981"/>
    <cellStyle name="40% - Accent3 2 2 2 4 2 4" xfId="25108"/>
    <cellStyle name="40% - Accent3 2 2 2 4 3" xfId="9739"/>
    <cellStyle name="40% - Accent3 2 2 2 4 4" xfId="15904"/>
    <cellStyle name="40% - Accent3 2 2 2 4 5" xfId="22032"/>
    <cellStyle name="40% - Accent3 2 2 2 5" xfId="3453"/>
    <cellStyle name="40% - Accent3 2 2 2 5 2" xfId="6585"/>
    <cellStyle name="40% - Accent3 2 2 2 5 2 2" xfId="12827"/>
    <cellStyle name="40% - Accent3 2 2 2 5 2 3" xfId="18982"/>
    <cellStyle name="40% - Accent3 2 2 2 5 2 4" xfId="25109"/>
    <cellStyle name="40% - Accent3 2 2 2 5 3" xfId="9740"/>
    <cellStyle name="40% - Accent3 2 2 2 5 4" xfId="15905"/>
    <cellStyle name="40% - Accent3 2 2 2 5 5" xfId="22033"/>
    <cellStyle name="40% - Accent3 2 2 2 6" xfId="3447"/>
    <cellStyle name="40% - Accent3 2 2 2 6 2" xfId="6579"/>
    <cellStyle name="40% - Accent3 2 2 2 6 2 2" xfId="12821"/>
    <cellStyle name="40% - Accent3 2 2 2 6 2 3" xfId="18976"/>
    <cellStyle name="40% - Accent3 2 2 2 6 2 4" xfId="25103"/>
    <cellStyle name="40% - Accent3 2 2 2 6 3" xfId="9734"/>
    <cellStyle name="40% - Accent3 2 2 2 6 4" xfId="15899"/>
    <cellStyle name="40% - Accent3 2 2 2 6 5" xfId="22027"/>
    <cellStyle name="40% - Accent3 2 2 2 7" xfId="5365"/>
    <cellStyle name="40% - Accent3 2 2 2 7 2" xfId="11607"/>
    <cellStyle name="40% - Accent3 2 2 2 7 3" xfId="17762"/>
    <cellStyle name="40% - Accent3 2 2 2 7 4" xfId="23889"/>
    <cellStyle name="40% - Accent3 2 2 2 8" xfId="8520"/>
    <cellStyle name="40% - Accent3 2 2 2 9" xfId="14519"/>
    <cellStyle name="40% - Accent3 2 2 3" xfId="2326"/>
    <cellStyle name="40% - Accent3 2 2 3 2" xfId="3455"/>
    <cellStyle name="40% - Accent3 2 2 3 2 2" xfId="6587"/>
    <cellStyle name="40% - Accent3 2 2 3 2 2 2" xfId="12829"/>
    <cellStyle name="40% - Accent3 2 2 3 2 2 3" xfId="18984"/>
    <cellStyle name="40% - Accent3 2 2 3 2 2 4" xfId="25111"/>
    <cellStyle name="40% - Accent3 2 2 3 2 3" xfId="9742"/>
    <cellStyle name="40% - Accent3 2 2 3 2 4" xfId="15907"/>
    <cellStyle name="40% - Accent3 2 2 3 2 5" xfId="22035"/>
    <cellStyle name="40% - Accent3 2 2 3 3" xfId="3454"/>
    <cellStyle name="40% - Accent3 2 2 3 3 2" xfId="6586"/>
    <cellStyle name="40% - Accent3 2 2 3 3 2 2" xfId="12828"/>
    <cellStyle name="40% - Accent3 2 2 3 3 2 3" xfId="18983"/>
    <cellStyle name="40% - Accent3 2 2 3 3 2 4" xfId="25110"/>
    <cellStyle name="40% - Accent3 2 2 3 3 3" xfId="9741"/>
    <cellStyle name="40% - Accent3 2 2 3 3 4" xfId="15906"/>
    <cellStyle name="40% - Accent3 2 2 3 3 5" xfId="22034"/>
    <cellStyle name="40% - Accent3 2 2 3 4" xfId="5639"/>
    <cellStyle name="40% - Accent3 2 2 3 4 2" xfId="11881"/>
    <cellStyle name="40% - Accent3 2 2 3 4 3" xfId="18036"/>
    <cellStyle name="40% - Accent3 2 2 3 4 4" xfId="24163"/>
    <cellStyle name="40% - Accent3 2 2 3 5" xfId="8793"/>
    <cellStyle name="40% - Accent3 2 2 3 6" xfId="14522"/>
    <cellStyle name="40% - Accent3 2 2 3 7" xfId="20973"/>
    <cellStyle name="40% - Accent3 2 2 4" xfId="2159"/>
    <cellStyle name="40% - Accent3 2 2 4 2" xfId="3457"/>
    <cellStyle name="40% - Accent3 2 2 4 2 2" xfId="6589"/>
    <cellStyle name="40% - Accent3 2 2 4 2 2 2" xfId="12831"/>
    <cellStyle name="40% - Accent3 2 2 4 2 2 3" xfId="18986"/>
    <cellStyle name="40% - Accent3 2 2 4 2 2 4" xfId="25113"/>
    <cellStyle name="40% - Accent3 2 2 4 2 3" xfId="9744"/>
    <cellStyle name="40% - Accent3 2 2 4 2 4" xfId="15909"/>
    <cellStyle name="40% - Accent3 2 2 4 2 5" xfId="22037"/>
    <cellStyle name="40% - Accent3 2 2 4 3" xfId="3456"/>
    <cellStyle name="40% - Accent3 2 2 4 3 2" xfId="6588"/>
    <cellStyle name="40% - Accent3 2 2 4 3 2 2" xfId="12830"/>
    <cellStyle name="40% - Accent3 2 2 4 3 2 3" xfId="18985"/>
    <cellStyle name="40% - Accent3 2 2 4 3 2 4" xfId="25112"/>
    <cellStyle name="40% - Accent3 2 2 4 3 3" xfId="9743"/>
    <cellStyle name="40% - Accent3 2 2 4 3 4" xfId="15908"/>
    <cellStyle name="40% - Accent3 2 2 4 3 5" xfId="22036"/>
    <cellStyle name="40% - Accent3 2 2 4 4" xfId="5472"/>
    <cellStyle name="40% - Accent3 2 2 4 4 2" xfId="11714"/>
    <cellStyle name="40% - Accent3 2 2 4 4 3" xfId="17869"/>
    <cellStyle name="40% - Accent3 2 2 4 4 4" xfId="23996"/>
    <cellStyle name="40% - Accent3 2 2 4 5" xfId="8626"/>
    <cellStyle name="40% - Accent3 2 2 4 6" xfId="14523"/>
    <cellStyle name="40% - Accent3 2 2 4 7" xfId="20806"/>
    <cellStyle name="40% - Accent3 2 2 5" xfId="796"/>
    <cellStyle name="40% - Accent3 2 2 5 2" xfId="3459"/>
    <cellStyle name="40% - Accent3 2 2 5 2 2" xfId="6591"/>
    <cellStyle name="40% - Accent3 2 2 5 2 2 2" xfId="12833"/>
    <cellStyle name="40% - Accent3 2 2 5 2 2 3" xfId="18988"/>
    <cellStyle name="40% - Accent3 2 2 5 2 2 4" xfId="25115"/>
    <cellStyle name="40% - Accent3 2 2 5 2 3" xfId="9746"/>
    <cellStyle name="40% - Accent3 2 2 5 2 4" xfId="15911"/>
    <cellStyle name="40% - Accent3 2 2 5 2 5" xfId="22039"/>
    <cellStyle name="40% - Accent3 2 2 5 3" xfId="3458"/>
    <cellStyle name="40% - Accent3 2 2 5 3 2" xfId="6590"/>
    <cellStyle name="40% - Accent3 2 2 5 3 2 2" xfId="12832"/>
    <cellStyle name="40% - Accent3 2 2 5 3 2 3" xfId="18987"/>
    <cellStyle name="40% - Accent3 2 2 5 3 2 4" xfId="25114"/>
    <cellStyle name="40% - Accent3 2 2 5 3 3" xfId="9745"/>
    <cellStyle name="40% - Accent3 2 2 5 3 4" xfId="15910"/>
    <cellStyle name="40% - Accent3 2 2 5 3 5" xfId="22038"/>
    <cellStyle name="40% - Accent3 2 2 5 4" xfId="5145"/>
    <cellStyle name="40% - Accent3 2 2 5 4 2" xfId="11388"/>
    <cellStyle name="40% - Accent3 2 2 5 4 3" xfId="17543"/>
    <cellStyle name="40% - Accent3 2 2 5 4 4" xfId="23670"/>
    <cellStyle name="40% - Accent3 2 2 5 5" xfId="8302"/>
    <cellStyle name="40% - Accent3 2 2 5 6" xfId="14524"/>
    <cellStyle name="40% - Accent3 2 2 5 7" xfId="20485"/>
    <cellStyle name="40% - Accent3 2 2 6" xfId="243"/>
    <cellStyle name="40% - Accent3 2 2 6 2" xfId="3461"/>
    <cellStyle name="40% - Accent3 2 2 6 2 2" xfId="6593"/>
    <cellStyle name="40% - Accent3 2 2 6 2 2 2" xfId="12835"/>
    <cellStyle name="40% - Accent3 2 2 6 2 2 3" xfId="18990"/>
    <cellStyle name="40% - Accent3 2 2 6 2 2 4" xfId="25117"/>
    <cellStyle name="40% - Accent3 2 2 6 2 3" xfId="9748"/>
    <cellStyle name="40% - Accent3 2 2 6 2 4" xfId="15913"/>
    <cellStyle name="40% - Accent3 2 2 6 2 5" xfId="22041"/>
    <cellStyle name="40% - Accent3 2 2 6 3" xfId="3460"/>
    <cellStyle name="40% - Accent3 2 2 6 3 2" xfId="6592"/>
    <cellStyle name="40% - Accent3 2 2 6 3 2 2" xfId="12834"/>
    <cellStyle name="40% - Accent3 2 2 6 3 2 3" xfId="18989"/>
    <cellStyle name="40% - Accent3 2 2 6 3 2 4" xfId="25116"/>
    <cellStyle name="40% - Accent3 2 2 6 3 3" xfId="9747"/>
    <cellStyle name="40% - Accent3 2 2 6 3 4" xfId="15912"/>
    <cellStyle name="40% - Accent3 2 2 6 3 5" xfId="22040"/>
    <cellStyle name="40% - Accent3 2 2 6 4" xfId="5023"/>
    <cellStyle name="40% - Accent3 2 2 6 4 2" xfId="11266"/>
    <cellStyle name="40% - Accent3 2 2 6 4 3" xfId="17421"/>
    <cellStyle name="40% - Accent3 2 2 6 4 4" xfId="23548"/>
    <cellStyle name="40% - Accent3 2 2 6 5" xfId="8181"/>
    <cellStyle name="40% - Accent3 2 2 6 6" xfId="14525"/>
    <cellStyle name="40% - Accent3 2 2 6 7" xfId="21177"/>
    <cellStyle name="40% - Accent3 2 2 7" xfId="3462"/>
    <cellStyle name="40% - Accent3 2 2 7 2" xfId="6594"/>
    <cellStyle name="40% - Accent3 2 2 7 2 2" xfId="12836"/>
    <cellStyle name="40% - Accent3 2 2 7 2 3" xfId="18991"/>
    <cellStyle name="40% - Accent3 2 2 7 2 4" xfId="25118"/>
    <cellStyle name="40% - Accent3 2 2 7 3" xfId="9749"/>
    <cellStyle name="40% - Accent3 2 2 7 4" xfId="15914"/>
    <cellStyle name="40% - Accent3 2 2 7 5" xfId="22042"/>
    <cellStyle name="40% - Accent3 2 2 8" xfId="3463"/>
    <cellStyle name="40% - Accent3 2 2 8 2" xfId="6595"/>
    <cellStyle name="40% - Accent3 2 2 8 2 2" xfId="12837"/>
    <cellStyle name="40% - Accent3 2 2 8 2 3" xfId="18992"/>
    <cellStyle name="40% - Accent3 2 2 8 2 4" xfId="25119"/>
    <cellStyle name="40% - Accent3 2 2 8 3" xfId="9750"/>
    <cellStyle name="40% - Accent3 2 2 8 4" xfId="15915"/>
    <cellStyle name="40% - Accent3 2 2 8 5" xfId="22043"/>
    <cellStyle name="40% - Accent3 2 2 9" xfId="3446"/>
    <cellStyle name="40% - Accent3 2 2 9 2" xfId="6578"/>
    <cellStyle name="40% - Accent3 2 2 9 2 2" xfId="12820"/>
    <cellStyle name="40% - Accent3 2 2 9 2 3" xfId="18975"/>
    <cellStyle name="40% - Accent3 2 2 9 2 4" xfId="25102"/>
    <cellStyle name="40% - Accent3 2 2 9 3" xfId="9733"/>
    <cellStyle name="40% - Accent3 2 2 9 4" xfId="15898"/>
    <cellStyle name="40% - Accent3 2 2 9 5" xfId="22026"/>
    <cellStyle name="40% - Accent3 2 3" xfId="1032"/>
    <cellStyle name="40% - Accent3 2 3 2" xfId="2408"/>
    <cellStyle name="40% - Accent3 2 3 2 2" xfId="3465"/>
    <cellStyle name="40% - Accent3 2 3 2 2 2" xfId="6597"/>
    <cellStyle name="40% - Accent3 2 3 2 2 2 2" xfId="12839"/>
    <cellStyle name="40% - Accent3 2 3 2 2 2 3" xfId="18994"/>
    <cellStyle name="40% - Accent3 2 3 2 2 2 4" xfId="25121"/>
    <cellStyle name="40% - Accent3 2 3 2 2 3" xfId="9752"/>
    <cellStyle name="40% - Accent3 2 3 2 2 4" xfId="15917"/>
    <cellStyle name="40% - Accent3 2 3 2 2 5" xfId="22045"/>
    <cellStyle name="40% - Accent3 2 3 2 3" xfId="3464"/>
    <cellStyle name="40% - Accent3 2 3 2 3 2" xfId="6596"/>
    <cellStyle name="40% - Accent3 2 3 2 3 2 2" xfId="12838"/>
    <cellStyle name="40% - Accent3 2 3 2 3 2 3" xfId="18993"/>
    <cellStyle name="40% - Accent3 2 3 2 3 2 4" xfId="25120"/>
    <cellStyle name="40% - Accent3 2 3 2 3 3" xfId="9751"/>
    <cellStyle name="40% - Accent3 2 3 2 3 4" xfId="15916"/>
    <cellStyle name="40% - Accent3 2 3 2 3 5" xfId="22044"/>
    <cellStyle name="40% - Accent3 2 3 2 4" xfId="5721"/>
    <cellStyle name="40% - Accent3 2 3 2 4 2" xfId="11963"/>
    <cellStyle name="40% - Accent3 2 3 2 4 3" xfId="18118"/>
    <cellStyle name="40% - Accent3 2 3 2 4 4" xfId="24245"/>
    <cellStyle name="40% - Accent3 2 3 2 5" xfId="8875"/>
    <cellStyle name="40% - Accent3 2 3 2 6" xfId="14526"/>
    <cellStyle name="40% - Accent3 2 3 2 7" xfId="21055"/>
    <cellStyle name="40% - Accent3 2 3 3" xfId="2233"/>
    <cellStyle name="40% - Accent3 2 3 3 2" xfId="3467"/>
    <cellStyle name="40% - Accent3 2 3 3 2 2" xfId="6599"/>
    <cellStyle name="40% - Accent3 2 3 3 2 2 2" xfId="12841"/>
    <cellStyle name="40% - Accent3 2 3 3 2 2 3" xfId="18996"/>
    <cellStyle name="40% - Accent3 2 3 3 2 2 4" xfId="25123"/>
    <cellStyle name="40% - Accent3 2 3 3 2 3" xfId="9754"/>
    <cellStyle name="40% - Accent3 2 3 3 2 4" xfId="15919"/>
    <cellStyle name="40% - Accent3 2 3 3 2 5" xfId="22047"/>
    <cellStyle name="40% - Accent3 2 3 3 3" xfId="3466"/>
    <cellStyle name="40% - Accent3 2 3 3 3 2" xfId="6598"/>
    <cellStyle name="40% - Accent3 2 3 3 3 2 2" xfId="12840"/>
    <cellStyle name="40% - Accent3 2 3 3 3 2 3" xfId="18995"/>
    <cellStyle name="40% - Accent3 2 3 3 3 2 4" xfId="25122"/>
    <cellStyle name="40% - Accent3 2 3 3 3 3" xfId="9753"/>
    <cellStyle name="40% - Accent3 2 3 3 3 4" xfId="15918"/>
    <cellStyle name="40% - Accent3 2 3 3 3 5" xfId="22046"/>
    <cellStyle name="40% - Accent3 2 3 3 4" xfId="5546"/>
    <cellStyle name="40% - Accent3 2 3 3 4 2" xfId="11788"/>
    <cellStyle name="40% - Accent3 2 3 3 4 3" xfId="17943"/>
    <cellStyle name="40% - Accent3 2 3 3 4 4" xfId="24070"/>
    <cellStyle name="40% - Accent3 2 3 3 5" xfId="8700"/>
    <cellStyle name="40% - Accent3 2 3 3 6" xfId="14527"/>
    <cellStyle name="40% - Accent3 2 3 3 7" xfId="20880"/>
    <cellStyle name="40% - Accent3 2 3 4" xfId="2022"/>
    <cellStyle name="40% - Accent3 2 3 4 2" xfId="3469"/>
    <cellStyle name="40% - Accent3 2 3 4 2 2" xfId="6601"/>
    <cellStyle name="40% - Accent3 2 3 4 2 2 2" xfId="12843"/>
    <cellStyle name="40% - Accent3 2 3 4 2 2 3" xfId="18998"/>
    <cellStyle name="40% - Accent3 2 3 4 2 2 4" xfId="25125"/>
    <cellStyle name="40% - Accent3 2 3 4 2 3" xfId="9756"/>
    <cellStyle name="40% - Accent3 2 3 4 2 4" xfId="15921"/>
    <cellStyle name="40% - Accent3 2 3 4 2 5" xfId="22049"/>
    <cellStyle name="40% - Accent3 2 3 4 3" xfId="3468"/>
    <cellStyle name="40% - Accent3 2 3 4 3 2" xfId="6600"/>
    <cellStyle name="40% - Accent3 2 3 4 3 2 2" xfId="12842"/>
    <cellStyle name="40% - Accent3 2 3 4 3 2 3" xfId="18997"/>
    <cellStyle name="40% - Accent3 2 3 4 3 2 4" xfId="25124"/>
    <cellStyle name="40% - Accent3 2 3 4 3 3" xfId="9755"/>
    <cellStyle name="40% - Accent3 2 3 4 3 4" xfId="15920"/>
    <cellStyle name="40% - Accent3 2 3 4 3 5" xfId="22048"/>
    <cellStyle name="40% - Accent3 2 3 4 4" xfId="5364"/>
    <cellStyle name="40% - Accent3 2 3 4 4 2" xfId="11606"/>
    <cellStyle name="40% - Accent3 2 3 4 4 3" xfId="17761"/>
    <cellStyle name="40% - Accent3 2 3 4 4 4" xfId="23888"/>
    <cellStyle name="40% - Accent3 2 3 4 5" xfId="8519"/>
    <cellStyle name="40% - Accent3 2 3 4 6" xfId="14528"/>
    <cellStyle name="40% - Accent3 2 3 4 7" xfId="20699"/>
    <cellStyle name="40% - Accent3 2 3 5" xfId="3470"/>
    <cellStyle name="40% - Accent3 2 3 6" xfId="3471"/>
    <cellStyle name="40% - Accent3 2 3 6 2" xfId="6602"/>
    <cellStyle name="40% - Accent3 2 3 6 2 2" xfId="12844"/>
    <cellStyle name="40% - Accent3 2 3 6 2 3" xfId="18999"/>
    <cellStyle name="40% - Accent3 2 3 6 2 4" xfId="25126"/>
    <cellStyle name="40% - Accent3 2 3 6 3" xfId="9757"/>
    <cellStyle name="40% - Accent3 2 3 6 4" xfId="15922"/>
    <cellStyle name="40% - Accent3 2 3 6 5" xfId="22050"/>
    <cellStyle name="40% - Accent3 2 4" xfId="2325"/>
    <cellStyle name="40% - Accent3 2 4 2" xfId="3473"/>
    <cellStyle name="40% - Accent3 2 4 2 2" xfId="6604"/>
    <cellStyle name="40% - Accent3 2 4 2 2 2" xfId="12846"/>
    <cellStyle name="40% - Accent3 2 4 2 2 3" xfId="19001"/>
    <cellStyle name="40% - Accent3 2 4 2 2 4" xfId="25128"/>
    <cellStyle name="40% - Accent3 2 4 2 3" xfId="9759"/>
    <cellStyle name="40% - Accent3 2 4 2 4" xfId="15924"/>
    <cellStyle name="40% - Accent3 2 4 2 5" xfId="22052"/>
    <cellStyle name="40% - Accent3 2 4 3" xfId="3472"/>
    <cellStyle name="40% - Accent3 2 4 3 2" xfId="6603"/>
    <cellStyle name="40% - Accent3 2 4 3 2 2" xfId="12845"/>
    <cellStyle name="40% - Accent3 2 4 3 2 3" xfId="19000"/>
    <cellStyle name="40% - Accent3 2 4 3 2 4" xfId="25127"/>
    <cellStyle name="40% - Accent3 2 4 3 3" xfId="9758"/>
    <cellStyle name="40% - Accent3 2 4 3 4" xfId="15923"/>
    <cellStyle name="40% - Accent3 2 4 3 5" xfId="22051"/>
    <cellStyle name="40% - Accent3 2 4 4" xfId="5638"/>
    <cellStyle name="40% - Accent3 2 4 4 2" xfId="11880"/>
    <cellStyle name="40% - Accent3 2 4 4 3" xfId="18035"/>
    <cellStyle name="40% - Accent3 2 4 4 4" xfId="24162"/>
    <cellStyle name="40% - Accent3 2 4 5" xfId="8792"/>
    <cellStyle name="40% - Accent3 2 4 6" xfId="14529"/>
    <cellStyle name="40% - Accent3 2 4 7" xfId="20972"/>
    <cellStyle name="40% - Accent3 2 5" xfId="2158"/>
    <cellStyle name="40% - Accent3 2 5 2" xfId="3475"/>
    <cellStyle name="40% - Accent3 2 5 2 2" xfId="6606"/>
    <cellStyle name="40% - Accent3 2 5 2 2 2" xfId="12848"/>
    <cellStyle name="40% - Accent3 2 5 2 2 3" xfId="19003"/>
    <cellStyle name="40% - Accent3 2 5 2 2 4" xfId="25130"/>
    <cellStyle name="40% - Accent3 2 5 2 3" xfId="9761"/>
    <cellStyle name="40% - Accent3 2 5 2 4" xfId="15926"/>
    <cellStyle name="40% - Accent3 2 5 2 5" xfId="22054"/>
    <cellStyle name="40% - Accent3 2 5 3" xfId="3474"/>
    <cellStyle name="40% - Accent3 2 5 3 2" xfId="6605"/>
    <cellStyle name="40% - Accent3 2 5 3 2 2" xfId="12847"/>
    <cellStyle name="40% - Accent3 2 5 3 2 3" xfId="19002"/>
    <cellStyle name="40% - Accent3 2 5 3 2 4" xfId="25129"/>
    <cellStyle name="40% - Accent3 2 5 3 3" xfId="9760"/>
    <cellStyle name="40% - Accent3 2 5 3 4" xfId="15925"/>
    <cellStyle name="40% - Accent3 2 5 3 5" xfId="22053"/>
    <cellStyle name="40% - Accent3 2 5 4" xfId="5471"/>
    <cellStyle name="40% - Accent3 2 5 4 2" xfId="11713"/>
    <cellStyle name="40% - Accent3 2 5 4 3" xfId="17868"/>
    <cellStyle name="40% - Accent3 2 5 4 4" xfId="23995"/>
    <cellStyle name="40% - Accent3 2 5 5" xfId="8625"/>
    <cellStyle name="40% - Accent3 2 5 6" xfId="14530"/>
    <cellStyle name="40% - Accent3 2 5 7" xfId="20805"/>
    <cellStyle name="40% - Accent3 2 6" xfId="795"/>
    <cellStyle name="40% - Accent3 2 6 2" xfId="3477"/>
    <cellStyle name="40% - Accent3 2 6 2 2" xfId="6608"/>
    <cellStyle name="40% - Accent3 2 6 2 2 2" xfId="12850"/>
    <cellStyle name="40% - Accent3 2 6 2 2 3" xfId="19005"/>
    <cellStyle name="40% - Accent3 2 6 2 2 4" xfId="25132"/>
    <cellStyle name="40% - Accent3 2 6 2 3" xfId="9763"/>
    <cellStyle name="40% - Accent3 2 6 2 4" xfId="15928"/>
    <cellStyle name="40% - Accent3 2 6 2 5" xfId="22056"/>
    <cellStyle name="40% - Accent3 2 6 3" xfId="3476"/>
    <cellStyle name="40% - Accent3 2 6 3 2" xfId="6607"/>
    <cellStyle name="40% - Accent3 2 6 3 2 2" xfId="12849"/>
    <cellStyle name="40% - Accent3 2 6 3 2 3" xfId="19004"/>
    <cellStyle name="40% - Accent3 2 6 3 2 4" xfId="25131"/>
    <cellStyle name="40% - Accent3 2 6 3 3" xfId="9762"/>
    <cellStyle name="40% - Accent3 2 6 3 4" xfId="15927"/>
    <cellStyle name="40% - Accent3 2 6 3 5" xfId="22055"/>
    <cellStyle name="40% - Accent3 2 6 4" xfId="5144"/>
    <cellStyle name="40% - Accent3 2 6 4 2" xfId="11387"/>
    <cellStyle name="40% - Accent3 2 6 4 3" xfId="17542"/>
    <cellStyle name="40% - Accent3 2 6 4 4" xfId="23669"/>
    <cellStyle name="40% - Accent3 2 6 5" xfId="8301"/>
    <cellStyle name="40% - Accent3 2 6 6" xfId="14531"/>
    <cellStyle name="40% - Accent3 2 6 7" xfId="20484"/>
    <cellStyle name="40% - Accent3 2 7" xfId="242"/>
    <cellStyle name="40% - Accent3 2 7 2" xfId="3479"/>
    <cellStyle name="40% - Accent3 2 7 2 2" xfId="6610"/>
    <cellStyle name="40% - Accent3 2 7 2 2 2" xfId="12852"/>
    <cellStyle name="40% - Accent3 2 7 2 2 3" xfId="19007"/>
    <cellStyle name="40% - Accent3 2 7 2 2 4" xfId="25134"/>
    <cellStyle name="40% - Accent3 2 7 2 3" xfId="9765"/>
    <cellStyle name="40% - Accent3 2 7 2 4" xfId="15930"/>
    <cellStyle name="40% - Accent3 2 7 2 5" xfId="22058"/>
    <cellStyle name="40% - Accent3 2 7 3" xfId="3478"/>
    <cellStyle name="40% - Accent3 2 7 3 2" xfId="6609"/>
    <cellStyle name="40% - Accent3 2 7 3 2 2" xfId="12851"/>
    <cellStyle name="40% - Accent3 2 7 3 2 3" xfId="19006"/>
    <cellStyle name="40% - Accent3 2 7 3 2 4" xfId="25133"/>
    <cellStyle name="40% - Accent3 2 7 3 3" xfId="9764"/>
    <cellStyle name="40% - Accent3 2 7 3 4" xfId="15929"/>
    <cellStyle name="40% - Accent3 2 7 3 5" xfId="22057"/>
    <cellStyle name="40% - Accent3 2 7 4" xfId="5022"/>
    <cellStyle name="40% - Accent3 2 7 4 2" xfId="11265"/>
    <cellStyle name="40% - Accent3 2 7 4 3" xfId="17420"/>
    <cellStyle name="40% - Accent3 2 7 4 4" xfId="23547"/>
    <cellStyle name="40% - Accent3 2 7 5" xfId="8180"/>
    <cellStyle name="40% - Accent3 2 7 6" xfId="14532"/>
    <cellStyle name="40% - Accent3 2 7 7" xfId="21176"/>
    <cellStyle name="40% - Accent3 2 8" xfId="3480"/>
    <cellStyle name="40% - Accent3 2 8 2" xfId="6611"/>
    <cellStyle name="40% - Accent3 2 8 2 2" xfId="12853"/>
    <cellStyle name="40% - Accent3 2 8 2 3" xfId="19008"/>
    <cellStyle name="40% - Accent3 2 8 2 4" xfId="25135"/>
    <cellStyle name="40% - Accent3 2 8 3" xfId="9766"/>
    <cellStyle name="40% - Accent3 2 8 4" xfId="15931"/>
    <cellStyle name="40% - Accent3 2 8 5" xfId="22059"/>
    <cellStyle name="40% - Accent3 2 9" xfId="3481"/>
    <cellStyle name="40% - Accent3 2 9 2" xfId="6612"/>
    <cellStyle name="40% - Accent3 2 9 2 2" xfId="12854"/>
    <cellStyle name="40% - Accent3 2 9 2 3" xfId="19009"/>
    <cellStyle name="40% - Accent3 2 9 2 4" xfId="25136"/>
    <cellStyle name="40% - Accent3 2 9 3" xfId="9767"/>
    <cellStyle name="40% - Accent3 2 9 4" xfId="15932"/>
    <cellStyle name="40% - Accent3 2 9 5" xfId="22060"/>
    <cellStyle name="40% - Accent3 3" xfId="82"/>
    <cellStyle name="40% - Accent3 3 10" xfId="3482"/>
    <cellStyle name="40% - Accent3 3 10 2" xfId="6613"/>
    <cellStyle name="40% - Accent3 3 10 2 2" xfId="12855"/>
    <cellStyle name="40% - Accent3 3 10 2 3" xfId="19010"/>
    <cellStyle name="40% - Accent3 3 10 2 4" xfId="25137"/>
    <cellStyle name="40% - Accent3 3 10 3" xfId="9768"/>
    <cellStyle name="40% - Accent3 3 10 4" xfId="15933"/>
    <cellStyle name="40% - Accent3 3 10 5" xfId="22061"/>
    <cellStyle name="40% - Accent3 3 11" xfId="4932"/>
    <cellStyle name="40% - Accent3 3 11 2" xfId="11176"/>
    <cellStyle name="40% - Accent3 3 11 3" xfId="17331"/>
    <cellStyle name="40% - Accent3 3 11 4" xfId="23458"/>
    <cellStyle name="40% - Accent3 3 12" xfId="8090"/>
    <cellStyle name="40% - Accent3 3 13" xfId="14533"/>
    <cellStyle name="40% - Accent3 3 14" xfId="20370"/>
    <cellStyle name="40% - Accent3 3 2" xfId="83"/>
    <cellStyle name="40% - Accent3 3 2 10" xfId="4933"/>
    <cellStyle name="40% - Accent3 3 2 10 2" xfId="11177"/>
    <cellStyle name="40% - Accent3 3 2 10 3" xfId="17332"/>
    <cellStyle name="40% - Accent3 3 2 10 4" xfId="23459"/>
    <cellStyle name="40% - Accent3 3 2 11" xfId="8091"/>
    <cellStyle name="40% - Accent3 3 2 12" xfId="14534"/>
    <cellStyle name="40% - Accent3 3 2 13" xfId="20371"/>
    <cellStyle name="40% - Accent3 3 2 2" xfId="2025"/>
    <cellStyle name="40% - Accent3 3 2 2 10" xfId="20702"/>
    <cellStyle name="40% - Accent3 3 2 2 2" xfId="2411"/>
    <cellStyle name="40% - Accent3 3 2 2 2 2" xfId="3486"/>
    <cellStyle name="40% - Accent3 3 2 2 2 2 2" xfId="6617"/>
    <cellStyle name="40% - Accent3 3 2 2 2 2 2 2" xfId="12859"/>
    <cellStyle name="40% - Accent3 3 2 2 2 2 2 3" xfId="19014"/>
    <cellStyle name="40% - Accent3 3 2 2 2 2 2 4" xfId="25141"/>
    <cellStyle name="40% - Accent3 3 2 2 2 2 3" xfId="9772"/>
    <cellStyle name="40% - Accent3 3 2 2 2 2 4" xfId="15937"/>
    <cellStyle name="40% - Accent3 3 2 2 2 2 5" xfId="22065"/>
    <cellStyle name="40% - Accent3 3 2 2 2 3" xfId="3485"/>
    <cellStyle name="40% - Accent3 3 2 2 2 3 2" xfId="6616"/>
    <cellStyle name="40% - Accent3 3 2 2 2 3 2 2" xfId="12858"/>
    <cellStyle name="40% - Accent3 3 2 2 2 3 2 3" xfId="19013"/>
    <cellStyle name="40% - Accent3 3 2 2 2 3 2 4" xfId="25140"/>
    <cellStyle name="40% - Accent3 3 2 2 2 3 3" xfId="9771"/>
    <cellStyle name="40% - Accent3 3 2 2 2 3 4" xfId="15936"/>
    <cellStyle name="40% - Accent3 3 2 2 2 3 5" xfId="22064"/>
    <cellStyle name="40% - Accent3 3 2 2 2 4" xfId="5724"/>
    <cellStyle name="40% - Accent3 3 2 2 2 4 2" xfId="11966"/>
    <cellStyle name="40% - Accent3 3 2 2 2 4 3" xfId="18121"/>
    <cellStyle name="40% - Accent3 3 2 2 2 4 4" xfId="24248"/>
    <cellStyle name="40% - Accent3 3 2 2 2 5" xfId="8878"/>
    <cellStyle name="40% - Accent3 3 2 2 2 6" xfId="14536"/>
    <cellStyle name="40% - Accent3 3 2 2 2 7" xfId="21058"/>
    <cellStyle name="40% - Accent3 3 2 2 3" xfId="2236"/>
    <cellStyle name="40% - Accent3 3 2 2 3 2" xfId="3488"/>
    <cellStyle name="40% - Accent3 3 2 2 3 2 2" xfId="6619"/>
    <cellStyle name="40% - Accent3 3 2 2 3 2 2 2" xfId="12861"/>
    <cellStyle name="40% - Accent3 3 2 2 3 2 2 3" xfId="19016"/>
    <cellStyle name="40% - Accent3 3 2 2 3 2 2 4" xfId="25143"/>
    <cellStyle name="40% - Accent3 3 2 2 3 2 3" xfId="9774"/>
    <cellStyle name="40% - Accent3 3 2 2 3 2 4" xfId="15939"/>
    <cellStyle name="40% - Accent3 3 2 2 3 2 5" xfId="22067"/>
    <cellStyle name="40% - Accent3 3 2 2 3 3" xfId="3487"/>
    <cellStyle name="40% - Accent3 3 2 2 3 3 2" xfId="6618"/>
    <cellStyle name="40% - Accent3 3 2 2 3 3 2 2" xfId="12860"/>
    <cellStyle name="40% - Accent3 3 2 2 3 3 2 3" xfId="19015"/>
    <cellStyle name="40% - Accent3 3 2 2 3 3 2 4" xfId="25142"/>
    <cellStyle name="40% - Accent3 3 2 2 3 3 3" xfId="9773"/>
    <cellStyle name="40% - Accent3 3 2 2 3 3 4" xfId="15938"/>
    <cellStyle name="40% - Accent3 3 2 2 3 3 5" xfId="22066"/>
    <cellStyle name="40% - Accent3 3 2 2 3 4" xfId="5549"/>
    <cellStyle name="40% - Accent3 3 2 2 3 4 2" xfId="11791"/>
    <cellStyle name="40% - Accent3 3 2 2 3 4 3" xfId="17946"/>
    <cellStyle name="40% - Accent3 3 2 2 3 4 4" xfId="24073"/>
    <cellStyle name="40% - Accent3 3 2 2 3 5" xfId="8703"/>
    <cellStyle name="40% - Accent3 3 2 2 3 6" xfId="14537"/>
    <cellStyle name="40% - Accent3 3 2 2 3 7" xfId="20883"/>
    <cellStyle name="40% - Accent3 3 2 2 4" xfId="3489"/>
    <cellStyle name="40% - Accent3 3 2 2 4 2" xfId="6620"/>
    <cellStyle name="40% - Accent3 3 2 2 4 2 2" xfId="12862"/>
    <cellStyle name="40% - Accent3 3 2 2 4 2 3" xfId="19017"/>
    <cellStyle name="40% - Accent3 3 2 2 4 2 4" xfId="25144"/>
    <cellStyle name="40% - Accent3 3 2 2 4 3" xfId="9775"/>
    <cellStyle name="40% - Accent3 3 2 2 4 4" xfId="15940"/>
    <cellStyle name="40% - Accent3 3 2 2 4 5" xfId="22068"/>
    <cellStyle name="40% - Accent3 3 2 2 5" xfId="3490"/>
    <cellStyle name="40% - Accent3 3 2 2 5 2" xfId="6621"/>
    <cellStyle name="40% - Accent3 3 2 2 5 2 2" xfId="12863"/>
    <cellStyle name="40% - Accent3 3 2 2 5 2 3" xfId="19018"/>
    <cellStyle name="40% - Accent3 3 2 2 5 2 4" xfId="25145"/>
    <cellStyle name="40% - Accent3 3 2 2 5 3" xfId="9776"/>
    <cellStyle name="40% - Accent3 3 2 2 5 4" xfId="15941"/>
    <cellStyle name="40% - Accent3 3 2 2 5 5" xfId="22069"/>
    <cellStyle name="40% - Accent3 3 2 2 6" xfId="3484"/>
    <cellStyle name="40% - Accent3 3 2 2 6 2" xfId="6615"/>
    <cellStyle name="40% - Accent3 3 2 2 6 2 2" xfId="12857"/>
    <cellStyle name="40% - Accent3 3 2 2 6 2 3" xfId="19012"/>
    <cellStyle name="40% - Accent3 3 2 2 6 2 4" xfId="25139"/>
    <cellStyle name="40% - Accent3 3 2 2 6 3" xfId="9770"/>
    <cellStyle name="40% - Accent3 3 2 2 6 4" xfId="15935"/>
    <cellStyle name="40% - Accent3 3 2 2 6 5" xfId="22063"/>
    <cellStyle name="40% - Accent3 3 2 2 7" xfId="5367"/>
    <cellStyle name="40% - Accent3 3 2 2 7 2" xfId="11609"/>
    <cellStyle name="40% - Accent3 3 2 2 7 3" xfId="17764"/>
    <cellStyle name="40% - Accent3 3 2 2 7 4" xfId="23891"/>
    <cellStyle name="40% - Accent3 3 2 2 8" xfId="8522"/>
    <cellStyle name="40% - Accent3 3 2 2 9" xfId="14535"/>
    <cellStyle name="40% - Accent3 3 2 3" xfId="2328"/>
    <cellStyle name="40% - Accent3 3 2 3 2" xfId="3492"/>
    <cellStyle name="40% - Accent3 3 2 3 2 2" xfId="6623"/>
    <cellStyle name="40% - Accent3 3 2 3 2 2 2" xfId="12865"/>
    <cellStyle name="40% - Accent3 3 2 3 2 2 3" xfId="19020"/>
    <cellStyle name="40% - Accent3 3 2 3 2 2 4" xfId="25147"/>
    <cellStyle name="40% - Accent3 3 2 3 2 3" xfId="9778"/>
    <cellStyle name="40% - Accent3 3 2 3 2 4" xfId="15943"/>
    <cellStyle name="40% - Accent3 3 2 3 2 5" xfId="22071"/>
    <cellStyle name="40% - Accent3 3 2 3 3" xfId="3491"/>
    <cellStyle name="40% - Accent3 3 2 3 3 2" xfId="6622"/>
    <cellStyle name="40% - Accent3 3 2 3 3 2 2" xfId="12864"/>
    <cellStyle name="40% - Accent3 3 2 3 3 2 3" xfId="19019"/>
    <cellStyle name="40% - Accent3 3 2 3 3 2 4" xfId="25146"/>
    <cellStyle name="40% - Accent3 3 2 3 3 3" xfId="9777"/>
    <cellStyle name="40% - Accent3 3 2 3 3 4" xfId="15942"/>
    <cellStyle name="40% - Accent3 3 2 3 3 5" xfId="22070"/>
    <cellStyle name="40% - Accent3 3 2 3 4" xfId="5641"/>
    <cellStyle name="40% - Accent3 3 2 3 4 2" xfId="11883"/>
    <cellStyle name="40% - Accent3 3 2 3 4 3" xfId="18038"/>
    <cellStyle name="40% - Accent3 3 2 3 4 4" xfId="24165"/>
    <cellStyle name="40% - Accent3 3 2 3 5" xfId="8795"/>
    <cellStyle name="40% - Accent3 3 2 3 6" xfId="14538"/>
    <cellStyle name="40% - Accent3 3 2 3 7" xfId="20975"/>
    <cellStyle name="40% - Accent3 3 2 4" xfId="2161"/>
    <cellStyle name="40% - Accent3 3 2 4 2" xfId="3494"/>
    <cellStyle name="40% - Accent3 3 2 4 2 2" xfId="6625"/>
    <cellStyle name="40% - Accent3 3 2 4 2 2 2" xfId="12867"/>
    <cellStyle name="40% - Accent3 3 2 4 2 2 3" xfId="19022"/>
    <cellStyle name="40% - Accent3 3 2 4 2 2 4" xfId="25149"/>
    <cellStyle name="40% - Accent3 3 2 4 2 3" xfId="9780"/>
    <cellStyle name="40% - Accent3 3 2 4 2 4" xfId="15945"/>
    <cellStyle name="40% - Accent3 3 2 4 2 5" xfId="22073"/>
    <cellStyle name="40% - Accent3 3 2 4 3" xfId="3493"/>
    <cellStyle name="40% - Accent3 3 2 4 3 2" xfId="6624"/>
    <cellStyle name="40% - Accent3 3 2 4 3 2 2" xfId="12866"/>
    <cellStyle name="40% - Accent3 3 2 4 3 2 3" xfId="19021"/>
    <cellStyle name="40% - Accent3 3 2 4 3 2 4" xfId="25148"/>
    <cellStyle name="40% - Accent3 3 2 4 3 3" xfId="9779"/>
    <cellStyle name="40% - Accent3 3 2 4 3 4" xfId="15944"/>
    <cellStyle name="40% - Accent3 3 2 4 3 5" xfId="22072"/>
    <cellStyle name="40% - Accent3 3 2 4 4" xfId="5474"/>
    <cellStyle name="40% - Accent3 3 2 4 4 2" xfId="11716"/>
    <cellStyle name="40% - Accent3 3 2 4 4 3" xfId="17871"/>
    <cellStyle name="40% - Accent3 3 2 4 4 4" xfId="23998"/>
    <cellStyle name="40% - Accent3 3 2 4 5" xfId="8628"/>
    <cellStyle name="40% - Accent3 3 2 4 6" xfId="14539"/>
    <cellStyle name="40% - Accent3 3 2 4 7" xfId="20808"/>
    <cellStyle name="40% - Accent3 3 2 5" xfId="798"/>
    <cellStyle name="40% - Accent3 3 2 5 2" xfId="3496"/>
    <cellStyle name="40% - Accent3 3 2 5 2 2" xfId="6627"/>
    <cellStyle name="40% - Accent3 3 2 5 2 2 2" xfId="12869"/>
    <cellStyle name="40% - Accent3 3 2 5 2 2 3" xfId="19024"/>
    <cellStyle name="40% - Accent3 3 2 5 2 2 4" xfId="25151"/>
    <cellStyle name="40% - Accent3 3 2 5 2 3" xfId="9782"/>
    <cellStyle name="40% - Accent3 3 2 5 2 4" xfId="15947"/>
    <cellStyle name="40% - Accent3 3 2 5 2 5" xfId="22075"/>
    <cellStyle name="40% - Accent3 3 2 5 3" xfId="3495"/>
    <cellStyle name="40% - Accent3 3 2 5 3 2" xfId="6626"/>
    <cellStyle name="40% - Accent3 3 2 5 3 2 2" xfId="12868"/>
    <cellStyle name="40% - Accent3 3 2 5 3 2 3" xfId="19023"/>
    <cellStyle name="40% - Accent3 3 2 5 3 2 4" xfId="25150"/>
    <cellStyle name="40% - Accent3 3 2 5 3 3" xfId="9781"/>
    <cellStyle name="40% - Accent3 3 2 5 3 4" xfId="15946"/>
    <cellStyle name="40% - Accent3 3 2 5 3 5" xfId="22074"/>
    <cellStyle name="40% - Accent3 3 2 5 4" xfId="5147"/>
    <cellStyle name="40% - Accent3 3 2 5 4 2" xfId="11390"/>
    <cellStyle name="40% - Accent3 3 2 5 4 3" xfId="17545"/>
    <cellStyle name="40% - Accent3 3 2 5 4 4" xfId="23672"/>
    <cellStyle name="40% - Accent3 3 2 5 5" xfId="8304"/>
    <cellStyle name="40% - Accent3 3 2 5 6" xfId="14540"/>
    <cellStyle name="40% - Accent3 3 2 5 7" xfId="20487"/>
    <cellStyle name="40% - Accent3 3 2 6" xfId="245"/>
    <cellStyle name="40% - Accent3 3 2 6 2" xfId="3498"/>
    <cellStyle name="40% - Accent3 3 2 6 2 2" xfId="6629"/>
    <cellStyle name="40% - Accent3 3 2 6 2 2 2" xfId="12871"/>
    <cellStyle name="40% - Accent3 3 2 6 2 2 3" xfId="19026"/>
    <cellStyle name="40% - Accent3 3 2 6 2 2 4" xfId="25153"/>
    <cellStyle name="40% - Accent3 3 2 6 2 3" xfId="9784"/>
    <cellStyle name="40% - Accent3 3 2 6 2 4" xfId="15949"/>
    <cellStyle name="40% - Accent3 3 2 6 2 5" xfId="22077"/>
    <cellStyle name="40% - Accent3 3 2 6 3" xfId="3497"/>
    <cellStyle name="40% - Accent3 3 2 6 3 2" xfId="6628"/>
    <cellStyle name="40% - Accent3 3 2 6 3 2 2" xfId="12870"/>
    <cellStyle name="40% - Accent3 3 2 6 3 2 3" xfId="19025"/>
    <cellStyle name="40% - Accent3 3 2 6 3 2 4" xfId="25152"/>
    <cellStyle name="40% - Accent3 3 2 6 3 3" xfId="9783"/>
    <cellStyle name="40% - Accent3 3 2 6 3 4" xfId="15948"/>
    <cellStyle name="40% - Accent3 3 2 6 3 5" xfId="22076"/>
    <cellStyle name="40% - Accent3 3 2 6 4" xfId="5025"/>
    <cellStyle name="40% - Accent3 3 2 6 4 2" xfId="11268"/>
    <cellStyle name="40% - Accent3 3 2 6 4 3" xfId="17423"/>
    <cellStyle name="40% - Accent3 3 2 6 4 4" xfId="23550"/>
    <cellStyle name="40% - Accent3 3 2 6 5" xfId="8183"/>
    <cellStyle name="40% - Accent3 3 2 6 6" xfId="14541"/>
    <cellStyle name="40% - Accent3 3 2 6 7" xfId="21179"/>
    <cellStyle name="40% - Accent3 3 2 7" xfId="3499"/>
    <cellStyle name="40% - Accent3 3 2 7 2" xfId="6630"/>
    <cellStyle name="40% - Accent3 3 2 7 2 2" xfId="12872"/>
    <cellStyle name="40% - Accent3 3 2 7 2 3" xfId="19027"/>
    <cellStyle name="40% - Accent3 3 2 7 2 4" xfId="25154"/>
    <cellStyle name="40% - Accent3 3 2 7 3" xfId="9785"/>
    <cellStyle name="40% - Accent3 3 2 7 4" xfId="15950"/>
    <cellStyle name="40% - Accent3 3 2 7 5" xfId="22078"/>
    <cellStyle name="40% - Accent3 3 2 8" xfId="3500"/>
    <cellStyle name="40% - Accent3 3 2 8 2" xfId="6631"/>
    <cellStyle name="40% - Accent3 3 2 8 2 2" xfId="12873"/>
    <cellStyle name="40% - Accent3 3 2 8 2 3" xfId="19028"/>
    <cellStyle name="40% - Accent3 3 2 8 2 4" xfId="25155"/>
    <cellStyle name="40% - Accent3 3 2 8 3" xfId="9786"/>
    <cellStyle name="40% - Accent3 3 2 8 4" xfId="15951"/>
    <cellStyle name="40% - Accent3 3 2 8 5" xfId="22079"/>
    <cellStyle name="40% - Accent3 3 2 9" xfId="3483"/>
    <cellStyle name="40% - Accent3 3 2 9 2" xfId="6614"/>
    <cellStyle name="40% - Accent3 3 2 9 2 2" xfId="12856"/>
    <cellStyle name="40% - Accent3 3 2 9 2 3" xfId="19011"/>
    <cellStyle name="40% - Accent3 3 2 9 2 4" xfId="25138"/>
    <cellStyle name="40% - Accent3 3 2 9 3" xfId="9769"/>
    <cellStyle name="40% - Accent3 3 2 9 4" xfId="15934"/>
    <cellStyle name="40% - Accent3 3 2 9 5" xfId="22062"/>
    <cellStyle name="40% - Accent3 3 3" xfId="2024"/>
    <cellStyle name="40% - Accent3 3 3 10" xfId="20701"/>
    <cellStyle name="40% - Accent3 3 3 2" xfId="2410"/>
    <cellStyle name="40% - Accent3 3 3 2 2" xfId="3503"/>
    <cellStyle name="40% - Accent3 3 3 2 2 2" xfId="6634"/>
    <cellStyle name="40% - Accent3 3 3 2 2 2 2" xfId="12876"/>
    <cellStyle name="40% - Accent3 3 3 2 2 2 3" xfId="19031"/>
    <cellStyle name="40% - Accent3 3 3 2 2 2 4" xfId="25158"/>
    <cellStyle name="40% - Accent3 3 3 2 2 3" xfId="9789"/>
    <cellStyle name="40% - Accent3 3 3 2 2 4" xfId="15954"/>
    <cellStyle name="40% - Accent3 3 3 2 2 5" xfId="22082"/>
    <cellStyle name="40% - Accent3 3 3 2 3" xfId="3502"/>
    <cellStyle name="40% - Accent3 3 3 2 3 2" xfId="6633"/>
    <cellStyle name="40% - Accent3 3 3 2 3 2 2" xfId="12875"/>
    <cellStyle name="40% - Accent3 3 3 2 3 2 3" xfId="19030"/>
    <cellStyle name="40% - Accent3 3 3 2 3 2 4" xfId="25157"/>
    <cellStyle name="40% - Accent3 3 3 2 3 3" xfId="9788"/>
    <cellStyle name="40% - Accent3 3 3 2 3 4" xfId="15953"/>
    <cellStyle name="40% - Accent3 3 3 2 3 5" xfId="22081"/>
    <cellStyle name="40% - Accent3 3 3 2 4" xfId="5723"/>
    <cellStyle name="40% - Accent3 3 3 2 4 2" xfId="11965"/>
    <cellStyle name="40% - Accent3 3 3 2 4 3" xfId="18120"/>
    <cellStyle name="40% - Accent3 3 3 2 4 4" xfId="24247"/>
    <cellStyle name="40% - Accent3 3 3 2 5" xfId="8877"/>
    <cellStyle name="40% - Accent3 3 3 2 6" xfId="14543"/>
    <cellStyle name="40% - Accent3 3 3 2 7" xfId="21057"/>
    <cellStyle name="40% - Accent3 3 3 3" xfId="2235"/>
    <cellStyle name="40% - Accent3 3 3 3 2" xfId="3505"/>
    <cellStyle name="40% - Accent3 3 3 3 2 2" xfId="6636"/>
    <cellStyle name="40% - Accent3 3 3 3 2 2 2" xfId="12878"/>
    <cellStyle name="40% - Accent3 3 3 3 2 2 3" xfId="19033"/>
    <cellStyle name="40% - Accent3 3 3 3 2 2 4" xfId="25160"/>
    <cellStyle name="40% - Accent3 3 3 3 2 3" xfId="9791"/>
    <cellStyle name="40% - Accent3 3 3 3 2 4" xfId="15956"/>
    <cellStyle name="40% - Accent3 3 3 3 2 5" xfId="22084"/>
    <cellStyle name="40% - Accent3 3 3 3 3" xfId="3504"/>
    <cellStyle name="40% - Accent3 3 3 3 3 2" xfId="6635"/>
    <cellStyle name="40% - Accent3 3 3 3 3 2 2" xfId="12877"/>
    <cellStyle name="40% - Accent3 3 3 3 3 2 3" xfId="19032"/>
    <cellStyle name="40% - Accent3 3 3 3 3 2 4" xfId="25159"/>
    <cellStyle name="40% - Accent3 3 3 3 3 3" xfId="9790"/>
    <cellStyle name="40% - Accent3 3 3 3 3 4" xfId="15955"/>
    <cellStyle name="40% - Accent3 3 3 3 3 5" xfId="22083"/>
    <cellStyle name="40% - Accent3 3 3 3 4" xfId="5548"/>
    <cellStyle name="40% - Accent3 3 3 3 4 2" xfId="11790"/>
    <cellStyle name="40% - Accent3 3 3 3 4 3" xfId="17945"/>
    <cellStyle name="40% - Accent3 3 3 3 4 4" xfId="24072"/>
    <cellStyle name="40% - Accent3 3 3 3 5" xfId="8702"/>
    <cellStyle name="40% - Accent3 3 3 3 6" xfId="14544"/>
    <cellStyle name="40% - Accent3 3 3 3 7" xfId="20882"/>
    <cellStyle name="40% - Accent3 3 3 4" xfId="3506"/>
    <cellStyle name="40% - Accent3 3 3 4 2" xfId="6637"/>
    <cellStyle name="40% - Accent3 3 3 4 2 2" xfId="12879"/>
    <cellStyle name="40% - Accent3 3 3 4 2 3" xfId="19034"/>
    <cellStyle name="40% - Accent3 3 3 4 2 4" xfId="25161"/>
    <cellStyle name="40% - Accent3 3 3 4 3" xfId="9792"/>
    <cellStyle name="40% - Accent3 3 3 4 4" xfId="15957"/>
    <cellStyle name="40% - Accent3 3 3 4 5" xfId="22085"/>
    <cellStyle name="40% - Accent3 3 3 5" xfId="3507"/>
    <cellStyle name="40% - Accent3 3 3 5 2" xfId="6638"/>
    <cellStyle name="40% - Accent3 3 3 5 2 2" xfId="12880"/>
    <cellStyle name="40% - Accent3 3 3 5 2 3" xfId="19035"/>
    <cellStyle name="40% - Accent3 3 3 5 2 4" xfId="25162"/>
    <cellStyle name="40% - Accent3 3 3 5 3" xfId="9793"/>
    <cellStyle name="40% - Accent3 3 3 5 4" xfId="15958"/>
    <cellStyle name="40% - Accent3 3 3 5 5" xfId="22086"/>
    <cellStyle name="40% - Accent3 3 3 6" xfId="3501"/>
    <cellStyle name="40% - Accent3 3 3 6 2" xfId="6632"/>
    <cellStyle name="40% - Accent3 3 3 6 2 2" xfId="12874"/>
    <cellStyle name="40% - Accent3 3 3 6 2 3" xfId="19029"/>
    <cellStyle name="40% - Accent3 3 3 6 2 4" xfId="25156"/>
    <cellStyle name="40% - Accent3 3 3 6 3" xfId="9787"/>
    <cellStyle name="40% - Accent3 3 3 6 4" xfId="15952"/>
    <cellStyle name="40% - Accent3 3 3 6 5" xfId="22080"/>
    <cellStyle name="40% - Accent3 3 3 7" xfId="5366"/>
    <cellStyle name="40% - Accent3 3 3 7 2" xfId="11608"/>
    <cellStyle name="40% - Accent3 3 3 7 3" xfId="17763"/>
    <cellStyle name="40% - Accent3 3 3 7 4" xfId="23890"/>
    <cellStyle name="40% - Accent3 3 3 8" xfId="8521"/>
    <cellStyle name="40% - Accent3 3 3 9" xfId="14542"/>
    <cellStyle name="40% - Accent3 3 4" xfId="2327"/>
    <cellStyle name="40% - Accent3 3 4 2" xfId="3509"/>
    <cellStyle name="40% - Accent3 3 4 2 2" xfId="6640"/>
    <cellStyle name="40% - Accent3 3 4 2 2 2" xfId="12882"/>
    <cellStyle name="40% - Accent3 3 4 2 2 3" xfId="19037"/>
    <cellStyle name="40% - Accent3 3 4 2 2 4" xfId="25164"/>
    <cellStyle name="40% - Accent3 3 4 2 3" xfId="9795"/>
    <cellStyle name="40% - Accent3 3 4 2 4" xfId="15960"/>
    <cellStyle name="40% - Accent3 3 4 2 5" xfId="22088"/>
    <cellStyle name="40% - Accent3 3 4 3" xfId="3508"/>
    <cellStyle name="40% - Accent3 3 4 3 2" xfId="6639"/>
    <cellStyle name="40% - Accent3 3 4 3 2 2" xfId="12881"/>
    <cellStyle name="40% - Accent3 3 4 3 2 3" xfId="19036"/>
    <cellStyle name="40% - Accent3 3 4 3 2 4" xfId="25163"/>
    <cellStyle name="40% - Accent3 3 4 3 3" xfId="9794"/>
    <cellStyle name="40% - Accent3 3 4 3 4" xfId="15959"/>
    <cellStyle name="40% - Accent3 3 4 3 5" xfId="22087"/>
    <cellStyle name="40% - Accent3 3 4 4" xfId="5640"/>
    <cellStyle name="40% - Accent3 3 4 4 2" xfId="11882"/>
    <cellStyle name="40% - Accent3 3 4 4 3" xfId="18037"/>
    <cellStyle name="40% - Accent3 3 4 4 4" xfId="24164"/>
    <cellStyle name="40% - Accent3 3 4 5" xfId="8794"/>
    <cellStyle name="40% - Accent3 3 4 6" xfId="14545"/>
    <cellStyle name="40% - Accent3 3 4 7" xfId="20974"/>
    <cellStyle name="40% - Accent3 3 5" xfId="2160"/>
    <cellStyle name="40% - Accent3 3 5 2" xfId="3511"/>
    <cellStyle name="40% - Accent3 3 5 2 2" xfId="6642"/>
    <cellStyle name="40% - Accent3 3 5 2 2 2" xfId="12884"/>
    <cellStyle name="40% - Accent3 3 5 2 2 3" xfId="19039"/>
    <cellStyle name="40% - Accent3 3 5 2 2 4" xfId="25166"/>
    <cellStyle name="40% - Accent3 3 5 2 3" xfId="9797"/>
    <cellStyle name="40% - Accent3 3 5 2 4" xfId="15962"/>
    <cellStyle name="40% - Accent3 3 5 2 5" xfId="22090"/>
    <cellStyle name="40% - Accent3 3 5 3" xfId="3510"/>
    <cellStyle name="40% - Accent3 3 5 3 2" xfId="6641"/>
    <cellStyle name="40% - Accent3 3 5 3 2 2" xfId="12883"/>
    <cellStyle name="40% - Accent3 3 5 3 2 3" xfId="19038"/>
    <cellStyle name="40% - Accent3 3 5 3 2 4" xfId="25165"/>
    <cellStyle name="40% - Accent3 3 5 3 3" xfId="9796"/>
    <cellStyle name="40% - Accent3 3 5 3 4" xfId="15961"/>
    <cellStyle name="40% - Accent3 3 5 3 5" xfId="22089"/>
    <cellStyle name="40% - Accent3 3 5 4" xfId="5473"/>
    <cellStyle name="40% - Accent3 3 5 4 2" xfId="11715"/>
    <cellStyle name="40% - Accent3 3 5 4 3" xfId="17870"/>
    <cellStyle name="40% - Accent3 3 5 4 4" xfId="23997"/>
    <cellStyle name="40% - Accent3 3 5 5" xfId="8627"/>
    <cellStyle name="40% - Accent3 3 5 6" xfId="14546"/>
    <cellStyle name="40% - Accent3 3 5 7" xfId="20807"/>
    <cellStyle name="40% - Accent3 3 6" xfId="797"/>
    <cellStyle name="40% - Accent3 3 6 2" xfId="3513"/>
    <cellStyle name="40% - Accent3 3 6 2 2" xfId="6644"/>
    <cellStyle name="40% - Accent3 3 6 2 2 2" xfId="12886"/>
    <cellStyle name="40% - Accent3 3 6 2 2 3" xfId="19041"/>
    <cellStyle name="40% - Accent3 3 6 2 2 4" xfId="25168"/>
    <cellStyle name="40% - Accent3 3 6 2 3" xfId="9799"/>
    <cellStyle name="40% - Accent3 3 6 2 4" xfId="15964"/>
    <cellStyle name="40% - Accent3 3 6 2 5" xfId="22092"/>
    <cellStyle name="40% - Accent3 3 6 3" xfId="3512"/>
    <cellStyle name="40% - Accent3 3 6 3 2" xfId="6643"/>
    <cellStyle name="40% - Accent3 3 6 3 2 2" xfId="12885"/>
    <cellStyle name="40% - Accent3 3 6 3 2 3" xfId="19040"/>
    <cellStyle name="40% - Accent3 3 6 3 2 4" xfId="25167"/>
    <cellStyle name="40% - Accent3 3 6 3 3" xfId="9798"/>
    <cellStyle name="40% - Accent3 3 6 3 4" xfId="15963"/>
    <cellStyle name="40% - Accent3 3 6 3 5" xfId="22091"/>
    <cellStyle name="40% - Accent3 3 6 4" xfId="5146"/>
    <cellStyle name="40% - Accent3 3 6 4 2" xfId="11389"/>
    <cellStyle name="40% - Accent3 3 6 4 3" xfId="17544"/>
    <cellStyle name="40% - Accent3 3 6 4 4" xfId="23671"/>
    <cellStyle name="40% - Accent3 3 6 5" xfId="8303"/>
    <cellStyle name="40% - Accent3 3 6 6" xfId="14547"/>
    <cellStyle name="40% - Accent3 3 6 7" xfId="20486"/>
    <cellStyle name="40% - Accent3 3 7" xfId="244"/>
    <cellStyle name="40% - Accent3 3 7 2" xfId="3515"/>
    <cellStyle name="40% - Accent3 3 7 2 2" xfId="6646"/>
    <cellStyle name="40% - Accent3 3 7 2 2 2" xfId="12888"/>
    <cellStyle name="40% - Accent3 3 7 2 2 3" xfId="19043"/>
    <cellStyle name="40% - Accent3 3 7 2 2 4" xfId="25170"/>
    <cellStyle name="40% - Accent3 3 7 2 3" xfId="9801"/>
    <cellStyle name="40% - Accent3 3 7 2 4" xfId="15966"/>
    <cellStyle name="40% - Accent3 3 7 2 5" xfId="22094"/>
    <cellStyle name="40% - Accent3 3 7 3" xfId="3514"/>
    <cellStyle name="40% - Accent3 3 7 3 2" xfId="6645"/>
    <cellStyle name="40% - Accent3 3 7 3 2 2" xfId="12887"/>
    <cellStyle name="40% - Accent3 3 7 3 2 3" xfId="19042"/>
    <cellStyle name="40% - Accent3 3 7 3 2 4" xfId="25169"/>
    <cellStyle name="40% - Accent3 3 7 3 3" xfId="9800"/>
    <cellStyle name="40% - Accent3 3 7 3 4" xfId="15965"/>
    <cellStyle name="40% - Accent3 3 7 3 5" xfId="22093"/>
    <cellStyle name="40% - Accent3 3 7 4" xfId="5024"/>
    <cellStyle name="40% - Accent3 3 7 4 2" xfId="11267"/>
    <cellStyle name="40% - Accent3 3 7 4 3" xfId="17422"/>
    <cellStyle name="40% - Accent3 3 7 4 4" xfId="23549"/>
    <cellStyle name="40% - Accent3 3 7 5" xfId="8182"/>
    <cellStyle name="40% - Accent3 3 7 6" xfId="14548"/>
    <cellStyle name="40% - Accent3 3 7 7" xfId="21178"/>
    <cellStyle name="40% - Accent3 3 8" xfId="3516"/>
    <cellStyle name="40% - Accent3 3 8 2" xfId="6647"/>
    <cellStyle name="40% - Accent3 3 8 2 2" xfId="12889"/>
    <cellStyle name="40% - Accent3 3 8 2 3" xfId="19044"/>
    <cellStyle name="40% - Accent3 3 8 2 4" xfId="25171"/>
    <cellStyle name="40% - Accent3 3 8 3" xfId="9802"/>
    <cellStyle name="40% - Accent3 3 8 4" xfId="15967"/>
    <cellStyle name="40% - Accent3 3 8 5" xfId="22095"/>
    <cellStyle name="40% - Accent3 3 9" xfId="3517"/>
    <cellStyle name="40% - Accent3 3 9 2" xfId="6648"/>
    <cellStyle name="40% - Accent3 3 9 2 2" xfId="12890"/>
    <cellStyle name="40% - Accent3 3 9 2 3" xfId="19045"/>
    <cellStyle name="40% - Accent3 3 9 2 4" xfId="25172"/>
    <cellStyle name="40% - Accent3 3 9 3" xfId="9803"/>
    <cellStyle name="40% - Accent3 3 9 4" xfId="15968"/>
    <cellStyle name="40% - Accent3 3 9 5" xfId="22096"/>
    <cellStyle name="40% - Accent3 4" xfId="84"/>
    <cellStyle name="40% - Accent3 4 2" xfId="85"/>
    <cellStyle name="40% - Accent3 4 2 10" xfId="4934"/>
    <cellStyle name="40% - Accent3 4 2 10 2" xfId="11178"/>
    <cellStyle name="40% - Accent3 4 2 10 3" xfId="17333"/>
    <cellStyle name="40% - Accent3 4 2 10 4" xfId="23460"/>
    <cellStyle name="40% - Accent3 4 2 11" xfId="8092"/>
    <cellStyle name="40% - Accent3 4 2 12" xfId="14549"/>
    <cellStyle name="40% - Accent3 4 2 13" xfId="20372"/>
    <cellStyle name="40% - Accent3 4 2 2" xfId="2026"/>
    <cellStyle name="40% - Accent3 4 2 2 10" xfId="20703"/>
    <cellStyle name="40% - Accent3 4 2 2 2" xfId="2412"/>
    <cellStyle name="40% - Accent3 4 2 2 2 2" xfId="3521"/>
    <cellStyle name="40% - Accent3 4 2 2 2 2 2" xfId="6652"/>
    <cellStyle name="40% - Accent3 4 2 2 2 2 2 2" xfId="12894"/>
    <cellStyle name="40% - Accent3 4 2 2 2 2 2 3" xfId="19049"/>
    <cellStyle name="40% - Accent3 4 2 2 2 2 2 4" xfId="25176"/>
    <cellStyle name="40% - Accent3 4 2 2 2 2 3" xfId="9807"/>
    <cellStyle name="40% - Accent3 4 2 2 2 2 4" xfId="15972"/>
    <cellStyle name="40% - Accent3 4 2 2 2 2 5" xfId="22100"/>
    <cellStyle name="40% - Accent3 4 2 2 2 3" xfId="3520"/>
    <cellStyle name="40% - Accent3 4 2 2 2 3 2" xfId="6651"/>
    <cellStyle name="40% - Accent3 4 2 2 2 3 2 2" xfId="12893"/>
    <cellStyle name="40% - Accent3 4 2 2 2 3 2 3" xfId="19048"/>
    <cellStyle name="40% - Accent3 4 2 2 2 3 2 4" xfId="25175"/>
    <cellStyle name="40% - Accent3 4 2 2 2 3 3" xfId="9806"/>
    <cellStyle name="40% - Accent3 4 2 2 2 3 4" xfId="15971"/>
    <cellStyle name="40% - Accent3 4 2 2 2 3 5" xfId="22099"/>
    <cellStyle name="40% - Accent3 4 2 2 2 4" xfId="5725"/>
    <cellStyle name="40% - Accent3 4 2 2 2 4 2" xfId="11967"/>
    <cellStyle name="40% - Accent3 4 2 2 2 4 3" xfId="18122"/>
    <cellStyle name="40% - Accent3 4 2 2 2 4 4" xfId="24249"/>
    <cellStyle name="40% - Accent3 4 2 2 2 5" xfId="8879"/>
    <cellStyle name="40% - Accent3 4 2 2 2 6" xfId="14551"/>
    <cellStyle name="40% - Accent3 4 2 2 2 7" xfId="21059"/>
    <cellStyle name="40% - Accent3 4 2 2 3" xfId="2237"/>
    <cellStyle name="40% - Accent3 4 2 2 3 2" xfId="3523"/>
    <cellStyle name="40% - Accent3 4 2 2 3 2 2" xfId="6654"/>
    <cellStyle name="40% - Accent3 4 2 2 3 2 2 2" xfId="12896"/>
    <cellStyle name="40% - Accent3 4 2 2 3 2 2 3" xfId="19051"/>
    <cellStyle name="40% - Accent3 4 2 2 3 2 2 4" xfId="25178"/>
    <cellStyle name="40% - Accent3 4 2 2 3 2 3" xfId="9809"/>
    <cellStyle name="40% - Accent3 4 2 2 3 2 4" xfId="15974"/>
    <cellStyle name="40% - Accent3 4 2 2 3 2 5" xfId="22102"/>
    <cellStyle name="40% - Accent3 4 2 2 3 3" xfId="3522"/>
    <cellStyle name="40% - Accent3 4 2 2 3 3 2" xfId="6653"/>
    <cellStyle name="40% - Accent3 4 2 2 3 3 2 2" xfId="12895"/>
    <cellStyle name="40% - Accent3 4 2 2 3 3 2 3" xfId="19050"/>
    <cellStyle name="40% - Accent3 4 2 2 3 3 2 4" xfId="25177"/>
    <cellStyle name="40% - Accent3 4 2 2 3 3 3" xfId="9808"/>
    <cellStyle name="40% - Accent3 4 2 2 3 3 4" xfId="15973"/>
    <cellStyle name="40% - Accent3 4 2 2 3 3 5" xfId="22101"/>
    <cellStyle name="40% - Accent3 4 2 2 3 4" xfId="5550"/>
    <cellStyle name="40% - Accent3 4 2 2 3 4 2" xfId="11792"/>
    <cellStyle name="40% - Accent3 4 2 2 3 4 3" xfId="17947"/>
    <cellStyle name="40% - Accent3 4 2 2 3 4 4" xfId="24074"/>
    <cellStyle name="40% - Accent3 4 2 2 3 5" xfId="8704"/>
    <cellStyle name="40% - Accent3 4 2 2 3 6" xfId="14552"/>
    <cellStyle name="40% - Accent3 4 2 2 3 7" xfId="20884"/>
    <cellStyle name="40% - Accent3 4 2 2 4" xfId="3524"/>
    <cellStyle name="40% - Accent3 4 2 2 4 2" xfId="6655"/>
    <cellStyle name="40% - Accent3 4 2 2 4 2 2" xfId="12897"/>
    <cellStyle name="40% - Accent3 4 2 2 4 2 3" xfId="19052"/>
    <cellStyle name="40% - Accent3 4 2 2 4 2 4" xfId="25179"/>
    <cellStyle name="40% - Accent3 4 2 2 4 3" xfId="9810"/>
    <cellStyle name="40% - Accent3 4 2 2 4 4" xfId="15975"/>
    <cellStyle name="40% - Accent3 4 2 2 4 5" xfId="22103"/>
    <cellStyle name="40% - Accent3 4 2 2 5" xfId="3525"/>
    <cellStyle name="40% - Accent3 4 2 2 5 2" xfId="6656"/>
    <cellStyle name="40% - Accent3 4 2 2 5 2 2" xfId="12898"/>
    <cellStyle name="40% - Accent3 4 2 2 5 2 3" xfId="19053"/>
    <cellStyle name="40% - Accent3 4 2 2 5 2 4" xfId="25180"/>
    <cellStyle name="40% - Accent3 4 2 2 5 3" xfId="9811"/>
    <cellStyle name="40% - Accent3 4 2 2 5 4" xfId="15976"/>
    <cellStyle name="40% - Accent3 4 2 2 5 5" xfId="22104"/>
    <cellStyle name="40% - Accent3 4 2 2 6" xfId="3519"/>
    <cellStyle name="40% - Accent3 4 2 2 6 2" xfId="6650"/>
    <cellStyle name="40% - Accent3 4 2 2 6 2 2" xfId="12892"/>
    <cellStyle name="40% - Accent3 4 2 2 6 2 3" xfId="19047"/>
    <cellStyle name="40% - Accent3 4 2 2 6 2 4" xfId="25174"/>
    <cellStyle name="40% - Accent3 4 2 2 6 3" xfId="9805"/>
    <cellStyle name="40% - Accent3 4 2 2 6 4" xfId="15970"/>
    <cellStyle name="40% - Accent3 4 2 2 6 5" xfId="22098"/>
    <cellStyle name="40% - Accent3 4 2 2 7" xfId="5368"/>
    <cellStyle name="40% - Accent3 4 2 2 7 2" xfId="11610"/>
    <cellStyle name="40% - Accent3 4 2 2 7 3" xfId="17765"/>
    <cellStyle name="40% - Accent3 4 2 2 7 4" xfId="23892"/>
    <cellStyle name="40% - Accent3 4 2 2 8" xfId="8523"/>
    <cellStyle name="40% - Accent3 4 2 2 9" xfId="14550"/>
    <cellStyle name="40% - Accent3 4 2 3" xfId="2329"/>
    <cellStyle name="40% - Accent3 4 2 3 2" xfId="3527"/>
    <cellStyle name="40% - Accent3 4 2 3 2 2" xfId="6658"/>
    <cellStyle name="40% - Accent3 4 2 3 2 2 2" xfId="12900"/>
    <cellStyle name="40% - Accent3 4 2 3 2 2 3" xfId="19055"/>
    <cellStyle name="40% - Accent3 4 2 3 2 2 4" xfId="25182"/>
    <cellStyle name="40% - Accent3 4 2 3 2 3" xfId="9813"/>
    <cellStyle name="40% - Accent3 4 2 3 2 4" xfId="15978"/>
    <cellStyle name="40% - Accent3 4 2 3 2 5" xfId="22106"/>
    <cellStyle name="40% - Accent3 4 2 3 3" xfId="3526"/>
    <cellStyle name="40% - Accent3 4 2 3 3 2" xfId="6657"/>
    <cellStyle name="40% - Accent3 4 2 3 3 2 2" xfId="12899"/>
    <cellStyle name="40% - Accent3 4 2 3 3 2 3" xfId="19054"/>
    <cellStyle name="40% - Accent3 4 2 3 3 2 4" xfId="25181"/>
    <cellStyle name="40% - Accent3 4 2 3 3 3" xfId="9812"/>
    <cellStyle name="40% - Accent3 4 2 3 3 4" xfId="15977"/>
    <cellStyle name="40% - Accent3 4 2 3 3 5" xfId="22105"/>
    <cellStyle name="40% - Accent3 4 2 3 4" xfId="5642"/>
    <cellStyle name="40% - Accent3 4 2 3 4 2" xfId="11884"/>
    <cellStyle name="40% - Accent3 4 2 3 4 3" xfId="18039"/>
    <cellStyle name="40% - Accent3 4 2 3 4 4" xfId="24166"/>
    <cellStyle name="40% - Accent3 4 2 3 5" xfId="8796"/>
    <cellStyle name="40% - Accent3 4 2 3 6" xfId="14553"/>
    <cellStyle name="40% - Accent3 4 2 3 7" xfId="20976"/>
    <cellStyle name="40% - Accent3 4 2 4" xfId="2162"/>
    <cellStyle name="40% - Accent3 4 2 4 2" xfId="3529"/>
    <cellStyle name="40% - Accent3 4 2 4 2 2" xfId="6660"/>
    <cellStyle name="40% - Accent3 4 2 4 2 2 2" xfId="12902"/>
    <cellStyle name="40% - Accent3 4 2 4 2 2 3" xfId="19057"/>
    <cellStyle name="40% - Accent3 4 2 4 2 2 4" xfId="25184"/>
    <cellStyle name="40% - Accent3 4 2 4 2 3" xfId="9815"/>
    <cellStyle name="40% - Accent3 4 2 4 2 4" xfId="15980"/>
    <cellStyle name="40% - Accent3 4 2 4 2 5" xfId="22108"/>
    <cellStyle name="40% - Accent3 4 2 4 3" xfId="3528"/>
    <cellStyle name="40% - Accent3 4 2 4 3 2" xfId="6659"/>
    <cellStyle name="40% - Accent3 4 2 4 3 2 2" xfId="12901"/>
    <cellStyle name="40% - Accent3 4 2 4 3 2 3" xfId="19056"/>
    <cellStyle name="40% - Accent3 4 2 4 3 2 4" xfId="25183"/>
    <cellStyle name="40% - Accent3 4 2 4 3 3" xfId="9814"/>
    <cellStyle name="40% - Accent3 4 2 4 3 4" xfId="15979"/>
    <cellStyle name="40% - Accent3 4 2 4 3 5" xfId="22107"/>
    <cellStyle name="40% - Accent3 4 2 4 4" xfId="5475"/>
    <cellStyle name="40% - Accent3 4 2 4 4 2" xfId="11717"/>
    <cellStyle name="40% - Accent3 4 2 4 4 3" xfId="17872"/>
    <cellStyle name="40% - Accent3 4 2 4 4 4" xfId="23999"/>
    <cellStyle name="40% - Accent3 4 2 4 5" xfId="8629"/>
    <cellStyle name="40% - Accent3 4 2 4 6" xfId="14554"/>
    <cellStyle name="40% - Accent3 4 2 4 7" xfId="20809"/>
    <cellStyle name="40% - Accent3 4 2 5" xfId="799"/>
    <cellStyle name="40% - Accent3 4 2 5 2" xfId="3531"/>
    <cellStyle name="40% - Accent3 4 2 5 2 2" xfId="6662"/>
    <cellStyle name="40% - Accent3 4 2 5 2 2 2" xfId="12904"/>
    <cellStyle name="40% - Accent3 4 2 5 2 2 3" xfId="19059"/>
    <cellStyle name="40% - Accent3 4 2 5 2 2 4" xfId="25186"/>
    <cellStyle name="40% - Accent3 4 2 5 2 3" xfId="9817"/>
    <cellStyle name="40% - Accent3 4 2 5 2 4" xfId="15982"/>
    <cellStyle name="40% - Accent3 4 2 5 2 5" xfId="22110"/>
    <cellStyle name="40% - Accent3 4 2 5 3" xfId="3530"/>
    <cellStyle name="40% - Accent3 4 2 5 3 2" xfId="6661"/>
    <cellStyle name="40% - Accent3 4 2 5 3 2 2" xfId="12903"/>
    <cellStyle name="40% - Accent3 4 2 5 3 2 3" xfId="19058"/>
    <cellStyle name="40% - Accent3 4 2 5 3 2 4" xfId="25185"/>
    <cellStyle name="40% - Accent3 4 2 5 3 3" xfId="9816"/>
    <cellStyle name="40% - Accent3 4 2 5 3 4" xfId="15981"/>
    <cellStyle name="40% - Accent3 4 2 5 3 5" xfId="22109"/>
    <cellStyle name="40% - Accent3 4 2 5 4" xfId="5148"/>
    <cellStyle name="40% - Accent3 4 2 5 4 2" xfId="11391"/>
    <cellStyle name="40% - Accent3 4 2 5 4 3" xfId="17546"/>
    <cellStyle name="40% - Accent3 4 2 5 4 4" xfId="23673"/>
    <cellStyle name="40% - Accent3 4 2 5 5" xfId="8305"/>
    <cellStyle name="40% - Accent3 4 2 5 6" xfId="14555"/>
    <cellStyle name="40% - Accent3 4 2 5 7" xfId="20488"/>
    <cellStyle name="40% - Accent3 4 2 6" xfId="246"/>
    <cellStyle name="40% - Accent3 4 2 6 2" xfId="3533"/>
    <cellStyle name="40% - Accent3 4 2 6 2 2" xfId="6664"/>
    <cellStyle name="40% - Accent3 4 2 6 2 2 2" xfId="12906"/>
    <cellStyle name="40% - Accent3 4 2 6 2 2 3" xfId="19061"/>
    <cellStyle name="40% - Accent3 4 2 6 2 2 4" xfId="25188"/>
    <cellStyle name="40% - Accent3 4 2 6 2 3" xfId="9819"/>
    <cellStyle name="40% - Accent3 4 2 6 2 4" xfId="15984"/>
    <cellStyle name="40% - Accent3 4 2 6 2 5" xfId="22112"/>
    <cellStyle name="40% - Accent3 4 2 6 3" xfId="3532"/>
    <cellStyle name="40% - Accent3 4 2 6 3 2" xfId="6663"/>
    <cellStyle name="40% - Accent3 4 2 6 3 2 2" xfId="12905"/>
    <cellStyle name="40% - Accent3 4 2 6 3 2 3" xfId="19060"/>
    <cellStyle name="40% - Accent3 4 2 6 3 2 4" xfId="25187"/>
    <cellStyle name="40% - Accent3 4 2 6 3 3" xfId="9818"/>
    <cellStyle name="40% - Accent3 4 2 6 3 4" xfId="15983"/>
    <cellStyle name="40% - Accent3 4 2 6 3 5" xfId="22111"/>
    <cellStyle name="40% - Accent3 4 2 6 4" xfId="5026"/>
    <cellStyle name="40% - Accent3 4 2 6 4 2" xfId="11269"/>
    <cellStyle name="40% - Accent3 4 2 6 4 3" xfId="17424"/>
    <cellStyle name="40% - Accent3 4 2 6 4 4" xfId="23551"/>
    <cellStyle name="40% - Accent3 4 2 6 5" xfId="8184"/>
    <cellStyle name="40% - Accent3 4 2 6 6" xfId="14556"/>
    <cellStyle name="40% - Accent3 4 2 6 7" xfId="21180"/>
    <cellStyle name="40% - Accent3 4 2 7" xfId="3534"/>
    <cellStyle name="40% - Accent3 4 2 7 2" xfId="6665"/>
    <cellStyle name="40% - Accent3 4 2 7 2 2" xfId="12907"/>
    <cellStyle name="40% - Accent3 4 2 7 2 3" xfId="19062"/>
    <cellStyle name="40% - Accent3 4 2 7 2 4" xfId="25189"/>
    <cellStyle name="40% - Accent3 4 2 7 3" xfId="9820"/>
    <cellStyle name="40% - Accent3 4 2 7 4" xfId="15985"/>
    <cellStyle name="40% - Accent3 4 2 7 5" xfId="22113"/>
    <cellStyle name="40% - Accent3 4 2 8" xfId="3535"/>
    <cellStyle name="40% - Accent3 4 2 8 2" xfId="6666"/>
    <cellStyle name="40% - Accent3 4 2 8 2 2" xfId="12908"/>
    <cellStyle name="40% - Accent3 4 2 8 2 3" xfId="19063"/>
    <cellStyle name="40% - Accent3 4 2 8 2 4" xfId="25190"/>
    <cellStyle name="40% - Accent3 4 2 8 3" xfId="9821"/>
    <cellStyle name="40% - Accent3 4 2 8 4" xfId="15986"/>
    <cellStyle name="40% - Accent3 4 2 8 5" xfId="22114"/>
    <cellStyle name="40% - Accent3 4 2 9" xfId="3518"/>
    <cellStyle name="40% - Accent3 4 2 9 2" xfId="6649"/>
    <cellStyle name="40% - Accent3 4 2 9 2 2" xfId="12891"/>
    <cellStyle name="40% - Accent3 4 2 9 2 3" xfId="19046"/>
    <cellStyle name="40% - Accent3 4 2 9 2 4" xfId="25173"/>
    <cellStyle name="40% - Accent3 4 2 9 3" xfId="9804"/>
    <cellStyle name="40% - Accent3 4 2 9 4" xfId="15969"/>
    <cellStyle name="40% - Accent3 4 2 9 5" xfId="22097"/>
    <cellStyle name="40% - Accent3 5" xfId="472"/>
    <cellStyle name="40% - Accent3 5 2" xfId="3537"/>
    <cellStyle name="40% - Accent3 5 2 2" xfId="6668"/>
    <cellStyle name="40% - Accent3 5 2 2 2" xfId="12910"/>
    <cellStyle name="40% - Accent3 5 2 2 3" xfId="19065"/>
    <cellStyle name="40% - Accent3 5 2 2 4" xfId="25192"/>
    <cellStyle name="40% - Accent3 5 2 3" xfId="9823"/>
    <cellStyle name="40% - Accent3 5 2 4" xfId="15988"/>
    <cellStyle name="40% - Accent3 5 2 5" xfId="22116"/>
    <cellStyle name="40% - Accent3 5 3" xfId="3538"/>
    <cellStyle name="40% - Accent3 5 3 2" xfId="6669"/>
    <cellStyle name="40% - Accent3 5 3 2 2" xfId="12911"/>
    <cellStyle name="40% - Accent3 5 3 2 3" xfId="19066"/>
    <cellStyle name="40% - Accent3 5 3 2 4" xfId="25193"/>
    <cellStyle name="40% - Accent3 5 3 3" xfId="9824"/>
    <cellStyle name="40% - Accent3 5 3 4" xfId="15989"/>
    <cellStyle name="40% - Accent3 5 3 5" xfId="22117"/>
    <cellStyle name="40% - Accent3 5 4" xfId="3536"/>
    <cellStyle name="40% - Accent3 5 4 2" xfId="6667"/>
    <cellStyle name="40% - Accent3 5 4 2 2" xfId="12909"/>
    <cellStyle name="40% - Accent3 5 4 2 3" xfId="19064"/>
    <cellStyle name="40% - Accent3 5 4 2 4" xfId="25191"/>
    <cellStyle name="40% - Accent3 5 4 3" xfId="9822"/>
    <cellStyle name="40% - Accent3 5 4 4" xfId="15987"/>
    <cellStyle name="40% - Accent3 5 4 5" xfId="22115"/>
    <cellStyle name="40% - Accent3 5 5" xfId="5090"/>
    <cellStyle name="40% - Accent3 5 5 2" xfId="11333"/>
    <cellStyle name="40% - Accent3 5 5 3" xfId="17488"/>
    <cellStyle name="40% - Accent3 5 5 4" xfId="23615"/>
    <cellStyle name="40% - Accent3 5 6" xfId="8249"/>
    <cellStyle name="40% - Accent3 5 7" xfId="14557"/>
    <cellStyle name="40% - Accent3 5 8" xfId="20435"/>
    <cellStyle name="40% - Accent3 6" xfId="196"/>
    <cellStyle name="40% - Accent3 6 2" xfId="3540"/>
    <cellStyle name="40% - Accent3 6 2 2" xfId="6671"/>
    <cellStyle name="40% - Accent3 6 2 2 2" xfId="12913"/>
    <cellStyle name="40% - Accent3 6 2 2 3" xfId="19068"/>
    <cellStyle name="40% - Accent3 6 2 2 4" xfId="25195"/>
    <cellStyle name="40% - Accent3 6 2 3" xfId="9826"/>
    <cellStyle name="40% - Accent3 6 2 4" xfId="15991"/>
    <cellStyle name="40% - Accent3 6 2 5" xfId="22119"/>
    <cellStyle name="40% - Accent3 6 3" xfId="3539"/>
    <cellStyle name="40% - Accent3 6 3 2" xfId="6670"/>
    <cellStyle name="40% - Accent3 6 3 2 2" xfId="12912"/>
    <cellStyle name="40% - Accent3 6 3 2 3" xfId="19067"/>
    <cellStyle name="40% - Accent3 6 3 2 4" xfId="25194"/>
    <cellStyle name="40% - Accent3 6 3 3" xfId="9825"/>
    <cellStyle name="40% - Accent3 6 3 4" xfId="15990"/>
    <cellStyle name="40% - Accent3 6 3 5" xfId="22118"/>
    <cellStyle name="40% - Accent3 6 4" xfId="4977"/>
    <cellStyle name="40% - Accent3 6 4 2" xfId="11220"/>
    <cellStyle name="40% - Accent3 6 4 3" xfId="17375"/>
    <cellStyle name="40% - Accent3 6 4 4" xfId="23502"/>
    <cellStyle name="40% - Accent3 6 5" xfId="8135"/>
    <cellStyle name="40% - Accent3 6 6" xfId="15100"/>
    <cellStyle name="40% - Accent3 6 7" xfId="21228"/>
    <cellStyle name="40% - Accent3 7" xfId="3541"/>
    <cellStyle name="40% - Accent3 7 2" xfId="6672"/>
    <cellStyle name="40% - Accent3 7 2 2" xfId="12914"/>
    <cellStyle name="40% - Accent3 7 2 3" xfId="19069"/>
    <cellStyle name="40% - Accent3 7 2 4" xfId="25196"/>
    <cellStyle name="40% - Accent3 7 3" xfId="9827"/>
    <cellStyle name="40% - Accent3 7 4" xfId="15992"/>
    <cellStyle name="40% - Accent3 7 5" xfId="22120"/>
    <cellStyle name="40% - Accent3 8" xfId="4855"/>
    <cellStyle name="40% - Accent3 8 2" xfId="7900"/>
    <cellStyle name="40% - Accent3 8 2 2" xfId="14142"/>
    <cellStyle name="40% - Accent3 8 2 3" xfId="20297"/>
    <cellStyle name="40% - Accent3 8 2 4" xfId="26424"/>
    <cellStyle name="40% - Accent3 8 3" xfId="11111"/>
    <cellStyle name="40% - Accent3 8 4" xfId="17266"/>
    <cellStyle name="40% - Accent3 8 5" xfId="23393"/>
    <cellStyle name="40% - Accent3 9" xfId="4881"/>
    <cellStyle name="40% - Accent3 9 2" xfId="11127"/>
    <cellStyle name="40% - Accent3 9 3" xfId="17282"/>
    <cellStyle name="40% - Accent3 9 4" xfId="23409"/>
    <cellStyle name="40% - Accent4 10" xfId="15072"/>
    <cellStyle name="40% - Accent4 11" xfId="20324"/>
    <cellStyle name="40% - Accent4 2" xfId="86"/>
    <cellStyle name="40% - Accent4 2 10" xfId="3542"/>
    <cellStyle name="40% - Accent4 2 10 2" xfId="6673"/>
    <cellStyle name="40% - Accent4 2 10 2 2" xfId="12915"/>
    <cellStyle name="40% - Accent4 2 10 2 3" xfId="19070"/>
    <cellStyle name="40% - Accent4 2 10 2 4" xfId="25197"/>
    <cellStyle name="40% - Accent4 2 10 3" xfId="9828"/>
    <cellStyle name="40% - Accent4 2 10 4" xfId="15993"/>
    <cellStyle name="40% - Accent4 2 10 5" xfId="22121"/>
    <cellStyle name="40% - Accent4 2 11" xfId="4935"/>
    <cellStyle name="40% - Accent4 2 11 2" xfId="11179"/>
    <cellStyle name="40% - Accent4 2 11 3" xfId="17334"/>
    <cellStyle name="40% - Accent4 2 11 4" xfId="23461"/>
    <cellStyle name="40% - Accent4 2 12" xfId="8093"/>
    <cellStyle name="40% - Accent4 2 13" xfId="14558"/>
    <cellStyle name="40% - Accent4 2 14" xfId="20373"/>
    <cellStyle name="40% - Accent4 2 2" xfId="87"/>
    <cellStyle name="40% - Accent4 2 2 10" xfId="4936"/>
    <cellStyle name="40% - Accent4 2 2 10 2" xfId="11180"/>
    <cellStyle name="40% - Accent4 2 2 10 3" xfId="17335"/>
    <cellStyle name="40% - Accent4 2 2 10 4" xfId="23462"/>
    <cellStyle name="40% - Accent4 2 2 11" xfId="8094"/>
    <cellStyle name="40% - Accent4 2 2 12" xfId="14559"/>
    <cellStyle name="40% - Accent4 2 2 13" xfId="20374"/>
    <cellStyle name="40% - Accent4 2 2 2" xfId="2028"/>
    <cellStyle name="40% - Accent4 2 2 2 10" xfId="20705"/>
    <cellStyle name="40% - Accent4 2 2 2 2" xfId="2414"/>
    <cellStyle name="40% - Accent4 2 2 2 2 2" xfId="3546"/>
    <cellStyle name="40% - Accent4 2 2 2 2 2 2" xfId="6677"/>
    <cellStyle name="40% - Accent4 2 2 2 2 2 2 2" xfId="12919"/>
    <cellStyle name="40% - Accent4 2 2 2 2 2 2 3" xfId="19074"/>
    <cellStyle name="40% - Accent4 2 2 2 2 2 2 4" xfId="25201"/>
    <cellStyle name="40% - Accent4 2 2 2 2 2 3" xfId="9832"/>
    <cellStyle name="40% - Accent4 2 2 2 2 2 4" xfId="15997"/>
    <cellStyle name="40% - Accent4 2 2 2 2 2 5" xfId="22125"/>
    <cellStyle name="40% - Accent4 2 2 2 2 3" xfId="3545"/>
    <cellStyle name="40% - Accent4 2 2 2 2 3 2" xfId="6676"/>
    <cellStyle name="40% - Accent4 2 2 2 2 3 2 2" xfId="12918"/>
    <cellStyle name="40% - Accent4 2 2 2 2 3 2 3" xfId="19073"/>
    <cellStyle name="40% - Accent4 2 2 2 2 3 2 4" xfId="25200"/>
    <cellStyle name="40% - Accent4 2 2 2 2 3 3" xfId="9831"/>
    <cellStyle name="40% - Accent4 2 2 2 2 3 4" xfId="15996"/>
    <cellStyle name="40% - Accent4 2 2 2 2 3 5" xfId="22124"/>
    <cellStyle name="40% - Accent4 2 2 2 2 4" xfId="5727"/>
    <cellStyle name="40% - Accent4 2 2 2 2 4 2" xfId="11969"/>
    <cellStyle name="40% - Accent4 2 2 2 2 4 3" xfId="18124"/>
    <cellStyle name="40% - Accent4 2 2 2 2 4 4" xfId="24251"/>
    <cellStyle name="40% - Accent4 2 2 2 2 5" xfId="8881"/>
    <cellStyle name="40% - Accent4 2 2 2 2 6" xfId="14561"/>
    <cellStyle name="40% - Accent4 2 2 2 2 7" xfId="21061"/>
    <cellStyle name="40% - Accent4 2 2 2 3" xfId="2239"/>
    <cellStyle name="40% - Accent4 2 2 2 3 2" xfId="3548"/>
    <cellStyle name="40% - Accent4 2 2 2 3 2 2" xfId="6679"/>
    <cellStyle name="40% - Accent4 2 2 2 3 2 2 2" xfId="12921"/>
    <cellStyle name="40% - Accent4 2 2 2 3 2 2 3" xfId="19076"/>
    <cellStyle name="40% - Accent4 2 2 2 3 2 2 4" xfId="25203"/>
    <cellStyle name="40% - Accent4 2 2 2 3 2 3" xfId="9834"/>
    <cellStyle name="40% - Accent4 2 2 2 3 2 4" xfId="15999"/>
    <cellStyle name="40% - Accent4 2 2 2 3 2 5" xfId="22127"/>
    <cellStyle name="40% - Accent4 2 2 2 3 3" xfId="3547"/>
    <cellStyle name="40% - Accent4 2 2 2 3 3 2" xfId="6678"/>
    <cellStyle name="40% - Accent4 2 2 2 3 3 2 2" xfId="12920"/>
    <cellStyle name="40% - Accent4 2 2 2 3 3 2 3" xfId="19075"/>
    <cellStyle name="40% - Accent4 2 2 2 3 3 2 4" xfId="25202"/>
    <cellStyle name="40% - Accent4 2 2 2 3 3 3" xfId="9833"/>
    <cellStyle name="40% - Accent4 2 2 2 3 3 4" xfId="15998"/>
    <cellStyle name="40% - Accent4 2 2 2 3 3 5" xfId="22126"/>
    <cellStyle name="40% - Accent4 2 2 2 3 4" xfId="5552"/>
    <cellStyle name="40% - Accent4 2 2 2 3 4 2" xfId="11794"/>
    <cellStyle name="40% - Accent4 2 2 2 3 4 3" xfId="17949"/>
    <cellStyle name="40% - Accent4 2 2 2 3 4 4" xfId="24076"/>
    <cellStyle name="40% - Accent4 2 2 2 3 5" xfId="8706"/>
    <cellStyle name="40% - Accent4 2 2 2 3 6" xfId="14562"/>
    <cellStyle name="40% - Accent4 2 2 2 3 7" xfId="20886"/>
    <cellStyle name="40% - Accent4 2 2 2 4" xfId="3549"/>
    <cellStyle name="40% - Accent4 2 2 2 4 2" xfId="6680"/>
    <cellStyle name="40% - Accent4 2 2 2 4 2 2" xfId="12922"/>
    <cellStyle name="40% - Accent4 2 2 2 4 2 3" xfId="19077"/>
    <cellStyle name="40% - Accent4 2 2 2 4 2 4" xfId="25204"/>
    <cellStyle name="40% - Accent4 2 2 2 4 3" xfId="9835"/>
    <cellStyle name="40% - Accent4 2 2 2 4 4" xfId="16000"/>
    <cellStyle name="40% - Accent4 2 2 2 4 5" xfId="22128"/>
    <cellStyle name="40% - Accent4 2 2 2 5" xfId="3550"/>
    <cellStyle name="40% - Accent4 2 2 2 5 2" xfId="6681"/>
    <cellStyle name="40% - Accent4 2 2 2 5 2 2" xfId="12923"/>
    <cellStyle name="40% - Accent4 2 2 2 5 2 3" xfId="19078"/>
    <cellStyle name="40% - Accent4 2 2 2 5 2 4" xfId="25205"/>
    <cellStyle name="40% - Accent4 2 2 2 5 3" xfId="9836"/>
    <cellStyle name="40% - Accent4 2 2 2 5 4" xfId="16001"/>
    <cellStyle name="40% - Accent4 2 2 2 5 5" xfId="22129"/>
    <cellStyle name="40% - Accent4 2 2 2 6" xfId="3544"/>
    <cellStyle name="40% - Accent4 2 2 2 6 2" xfId="6675"/>
    <cellStyle name="40% - Accent4 2 2 2 6 2 2" xfId="12917"/>
    <cellStyle name="40% - Accent4 2 2 2 6 2 3" xfId="19072"/>
    <cellStyle name="40% - Accent4 2 2 2 6 2 4" xfId="25199"/>
    <cellStyle name="40% - Accent4 2 2 2 6 3" xfId="9830"/>
    <cellStyle name="40% - Accent4 2 2 2 6 4" xfId="15995"/>
    <cellStyle name="40% - Accent4 2 2 2 6 5" xfId="22123"/>
    <cellStyle name="40% - Accent4 2 2 2 7" xfId="5370"/>
    <cellStyle name="40% - Accent4 2 2 2 7 2" xfId="11612"/>
    <cellStyle name="40% - Accent4 2 2 2 7 3" xfId="17767"/>
    <cellStyle name="40% - Accent4 2 2 2 7 4" xfId="23894"/>
    <cellStyle name="40% - Accent4 2 2 2 8" xfId="8525"/>
    <cellStyle name="40% - Accent4 2 2 2 9" xfId="14560"/>
    <cellStyle name="40% - Accent4 2 2 3" xfId="2331"/>
    <cellStyle name="40% - Accent4 2 2 3 2" xfId="3552"/>
    <cellStyle name="40% - Accent4 2 2 3 2 2" xfId="6683"/>
    <cellStyle name="40% - Accent4 2 2 3 2 2 2" xfId="12925"/>
    <cellStyle name="40% - Accent4 2 2 3 2 2 3" xfId="19080"/>
    <cellStyle name="40% - Accent4 2 2 3 2 2 4" xfId="25207"/>
    <cellStyle name="40% - Accent4 2 2 3 2 3" xfId="9838"/>
    <cellStyle name="40% - Accent4 2 2 3 2 4" xfId="16003"/>
    <cellStyle name="40% - Accent4 2 2 3 2 5" xfId="22131"/>
    <cellStyle name="40% - Accent4 2 2 3 3" xfId="3551"/>
    <cellStyle name="40% - Accent4 2 2 3 3 2" xfId="6682"/>
    <cellStyle name="40% - Accent4 2 2 3 3 2 2" xfId="12924"/>
    <cellStyle name="40% - Accent4 2 2 3 3 2 3" xfId="19079"/>
    <cellStyle name="40% - Accent4 2 2 3 3 2 4" xfId="25206"/>
    <cellStyle name="40% - Accent4 2 2 3 3 3" xfId="9837"/>
    <cellStyle name="40% - Accent4 2 2 3 3 4" xfId="16002"/>
    <cellStyle name="40% - Accent4 2 2 3 3 5" xfId="22130"/>
    <cellStyle name="40% - Accent4 2 2 3 4" xfId="5644"/>
    <cellStyle name="40% - Accent4 2 2 3 4 2" xfId="11886"/>
    <cellStyle name="40% - Accent4 2 2 3 4 3" xfId="18041"/>
    <cellStyle name="40% - Accent4 2 2 3 4 4" xfId="24168"/>
    <cellStyle name="40% - Accent4 2 2 3 5" xfId="8798"/>
    <cellStyle name="40% - Accent4 2 2 3 6" xfId="14563"/>
    <cellStyle name="40% - Accent4 2 2 3 7" xfId="20978"/>
    <cellStyle name="40% - Accent4 2 2 4" xfId="2164"/>
    <cellStyle name="40% - Accent4 2 2 4 2" xfId="3554"/>
    <cellStyle name="40% - Accent4 2 2 4 2 2" xfId="6685"/>
    <cellStyle name="40% - Accent4 2 2 4 2 2 2" xfId="12927"/>
    <cellStyle name="40% - Accent4 2 2 4 2 2 3" xfId="19082"/>
    <cellStyle name="40% - Accent4 2 2 4 2 2 4" xfId="25209"/>
    <cellStyle name="40% - Accent4 2 2 4 2 3" xfId="9840"/>
    <cellStyle name="40% - Accent4 2 2 4 2 4" xfId="16005"/>
    <cellStyle name="40% - Accent4 2 2 4 2 5" xfId="22133"/>
    <cellStyle name="40% - Accent4 2 2 4 3" xfId="3553"/>
    <cellStyle name="40% - Accent4 2 2 4 3 2" xfId="6684"/>
    <cellStyle name="40% - Accent4 2 2 4 3 2 2" xfId="12926"/>
    <cellStyle name="40% - Accent4 2 2 4 3 2 3" xfId="19081"/>
    <cellStyle name="40% - Accent4 2 2 4 3 2 4" xfId="25208"/>
    <cellStyle name="40% - Accent4 2 2 4 3 3" xfId="9839"/>
    <cellStyle name="40% - Accent4 2 2 4 3 4" xfId="16004"/>
    <cellStyle name="40% - Accent4 2 2 4 3 5" xfId="22132"/>
    <cellStyle name="40% - Accent4 2 2 4 4" xfId="5477"/>
    <cellStyle name="40% - Accent4 2 2 4 4 2" xfId="11719"/>
    <cellStyle name="40% - Accent4 2 2 4 4 3" xfId="17874"/>
    <cellStyle name="40% - Accent4 2 2 4 4 4" xfId="24001"/>
    <cellStyle name="40% - Accent4 2 2 4 5" xfId="8631"/>
    <cellStyle name="40% - Accent4 2 2 4 6" xfId="14564"/>
    <cellStyle name="40% - Accent4 2 2 4 7" xfId="20811"/>
    <cellStyle name="40% - Accent4 2 2 5" xfId="801"/>
    <cellStyle name="40% - Accent4 2 2 5 2" xfId="3556"/>
    <cellStyle name="40% - Accent4 2 2 5 2 2" xfId="6687"/>
    <cellStyle name="40% - Accent4 2 2 5 2 2 2" xfId="12929"/>
    <cellStyle name="40% - Accent4 2 2 5 2 2 3" xfId="19084"/>
    <cellStyle name="40% - Accent4 2 2 5 2 2 4" xfId="25211"/>
    <cellStyle name="40% - Accent4 2 2 5 2 3" xfId="9842"/>
    <cellStyle name="40% - Accent4 2 2 5 2 4" xfId="16007"/>
    <cellStyle name="40% - Accent4 2 2 5 2 5" xfId="22135"/>
    <cellStyle name="40% - Accent4 2 2 5 3" xfId="3555"/>
    <cellStyle name="40% - Accent4 2 2 5 3 2" xfId="6686"/>
    <cellStyle name="40% - Accent4 2 2 5 3 2 2" xfId="12928"/>
    <cellStyle name="40% - Accent4 2 2 5 3 2 3" xfId="19083"/>
    <cellStyle name="40% - Accent4 2 2 5 3 2 4" xfId="25210"/>
    <cellStyle name="40% - Accent4 2 2 5 3 3" xfId="9841"/>
    <cellStyle name="40% - Accent4 2 2 5 3 4" xfId="16006"/>
    <cellStyle name="40% - Accent4 2 2 5 3 5" xfId="22134"/>
    <cellStyle name="40% - Accent4 2 2 5 4" xfId="5150"/>
    <cellStyle name="40% - Accent4 2 2 5 4 2" xfId="11393"/>
    <cellStyle name="40% - Accent4 2 2 5 4 3" xfId="17548"/>
    <cellStyle name="40% - Accent4 2 2 5 4 4" xfId="23675"/>
    <cellStyle name="40% - Accent4 2 2 5 5" xfId="8307"/>
    <cellStyle name="40% - Accent4 2 2 5 6" xfId="14565"/>
    <cellStyle name="40% - Accent4 2 2 5 7" xfId="20490"/>
    <cellStyle name="40% - Accent4 2 2 6" xfId="248"/>
    <cellStyle name="40% - Accent4 2 2 6 2" xfId="3558"/>
    <cellStyle name="40% - Accent4 2 2 6 2 2" xfId="6689"/>
    <cellStyle name="40% - Accent4 2 2 6 2 2 2" xfId="12931"/>
    <cellStyle name="40% - Accent4 2 2 6 2 2 3" xfId="19086"/>
    <cellStyle name="40% - Accent4 2 2 6 2 2 4" xfId="25213"/>
    <cellStyle name="40% - Accent4 2 2 6 2 3" xfId="9844"/>
    <cellStyle name="40% - Accent4 2 2 6 2 4" xfId="16009"/>
    <cellStyle name="40% - Accent4 2 2 6 2 5" xfId="22137"/>
    <cellStyle name="40% - Accent4 2 2 6 3" xfId="3557"/>
    <cellStyle name="40% - Accent4 2 2 6 3 2" xfId="6688"/>
    <cellStyle name="40% - Accent4 2 2 6 3 2 2" xfId="12930"/>
    <cellStyle name="40% - Accent4 2 2 6 3 2 3" xfId="19085"/>
    <cellStyle name="40% - Accent4 2 2 6 3 2 4" xfId="25212"/>
    <cellStyle name="40% - Accent4 2 2 6 3 3" xfId="9843"/>
    <cellStyle name="40% - Accent4 2 2 6 3 4" xfId="16008"/>
    <cellStyle name="40% - Accent4 2 2 6 3 5" xfId="22136"/>
    <cellStyle name="40% - Accent4 2 2 6 4" xfId="5028"/>
    <cellStyle name="40% - Accent4 2 2 6 4 2" xfId="11271"/>
    <cellStyle name="40% - Accent4 2 2 6 4 3" xfId="17426"/>
    <cellStyle name="40% - Accent4 2 2 6 4 4" xfId="23553"/>
    <cellStyle name="40% - Accent4 2 2 6 5" xfId="8186"/>
    <cellStyle name="40% - Accent4 2 2 6 6" xfId="14566"/>
    <cellStyle name="40% - Accent4 2 2 6 7" xfId="21182"/>
    <cellStyle name="40% - Accent4 2 2 7" xfId="3559"/>
    <cellStyle name="40% - Accent4 2 2 7 2" xfId="6690"/>
    <cellStyle name="40% - Accent4 2 2 7 2 2" xfId="12932"/>
    <cellStyle name="40% - Accent4 2 2 7 2 3" xfId="19087"/>
    <cellStyle name="40% - Accent4 2 2 7 2 4" xfId="25214"/>
    <cellStyle name="40% - Accent4 2 2 7 3" xfId="9845"/>
    <cellStyle name="40% - Accent4 2 2 7 4" xfId="16010"/>
    <cellStyle name="40% - Accent4 2 2 7 5" xfId="22138"/>
    <cellStyle name="40% - Accent4 2 2 8" xfId="3560"/>
    <cellStyle name="40% - Accent4 2 2 8 2" xfId="6691"/>
    <cellStyle name="40% - Accent4 2 2 8 2 2" xfId="12933"/>
    <cellStyle name="40% - Accent4 2 2 8 2 3" xfId="19088"/>
    <cellStyle name="40% - Accent4 2 2 8 2 4" xfId="25215"/>
    <cellStyle name="40% - Accent4 2 2 8 3" xfId="9846"/>
    <cellStyle name="40% - Accent4 2 2 8 4" xfId="16011"/>
    <cellStyle name="40% - Accent4 2 2 8 5" xfId="22139"/>
    <cellStyle name="40% - Accent4 2 2 9" xfId="3543"/>
    <cellStyle name="40% - Accent4 2 2 9 2" xfId="6674"/>
    <cellStyle name="40% - Accent4 2 2 9 2 2" xfId="12916"/>
    <cellStyle name="40% - Accent4 2 2 9 2 3" xfId="19071"/>
    <cellStyle name="40% - Accent4 2 2 9 2 4" xfId="25198"/>
    <cellStyle name="40% - Accent4 2 2 9 3" xfId="9829"/>
    <cellStyle name="40% - Accent4 2 2 9 4" xfId="15994"/>
    <cellStyle name="40% - Accent4 2 2 9 5" xfId="22122"/>
    <cellStyle name="40% - Accent4 2 3" xfId="1033"/>
    <cellStyle name="40% - Accent4 2 3 2" xfId="2413"/>
    <cellStyle name="40% - Accent4 2 3 2 2" xfId="3562"/>
    <cellStyle name="40% - Accent4 2 3 2 2 2" xfId="6693"/>
    <cellStyle name="40% - Accent4 2 3 2 2 2 2" xfId="12935"/>
    <cellStyle name="40% - Accent4 2 3 2 2 2 3" xfId="19090"/>
    <cellStyle name="40% - Accent4 2 3 2 2 2 4" xfId="25217"/>
    <cellStyle name="40% - Accent4 2 3 2 2 3" xfId="9848"/>
    <cellStyle name="40% - Accent4 2 3 2 2 4" xfId="16013"/>
    <cellStyle name="40% - Accent4 2 3 2 2 5" xfId="22141"/>
    <cellStyle name="40% - Accent4 2 3 2 3" xfId="3561"/>
    <cellStyle name="40% - Accent4 2 3 2 3 2" xfId="6692"/>
    <cellStyle name="40% - Accent4 2 3 2 3 2 2" xfId="12934"/>
    <cellStyle name="40% - Accent4 2 3 2 3 2 3" xfId="19089"/>
    <cellStyle name="40% - Accent4 2 3 2 3 2 4" xfId="25216"/>
    <cellStyle name="40% - Accent4 2 3 2 3 3" xfId="9847"/>
    <cellStyle name="40% - Accent4 2 3 2 3 4" xfId="16012"/>
    <cellStyle name="40% - Accent4 2 3 2 3 5" xfId="22140"/>
    <cellStyle name="40% - Accent4 2 3 2 4" xfId="5726"/>
    <cellStyle name="40% - Accent4 2 3 2 4 2" xfId="11968"/>
    <cellStyle name="40% - Accent4 2 3 2 4 3" xfId="18123"/>
    <cellStyle name="40% - Accent4 2 3 2 4 4" xfId="24250"/>
    <cellStyle name="40% - Accent4 2 3 2 5" xfId="8880"/>
    <cellStyle name="40% - Accent4 2 3 2 6" xfId="14567"/>
    <cellStyle name="40% - Accent4 2 3 2 7" xfId="21060"/>
    <cellStyle name="40% - Accent4 2 3 3" xfId="2238"/>
    <cellStyle name="40% - Accent4 2 3 3 2" xfId="3564"/>
    <cellStyle name="40% - Accent4 2 3 3 2 2" xfId="6695"/>
    <cellStyle name="40% - Accent4 2 3 3 2 2 2" xfId="12937"/>
    <cellStyle name="40% - Accent4 2 3 3 2 2 3" xfId="19092"/>
    <cellStyle name="40% - Accent4 2 3 3 2 2 4" xfId="25219"/>
    <cellStyle name="40% - Accent4 2 3 3 2 3" xfId="9850"/>
    <cellStyle name="40% - Accent4 2 3 3 2 4" xfId="16015"/>
    <cellStyle name="40% - Accent4 2 3 3 2 5" xfId="22143"/>
    <cellStyle name="40% - Accent4 2 3 3 3" xfId="3563"/>
    <cellStyle name="40% - Accent4 2 3 3 3 2" xfId="6694"/>
    <cellStyle name="40% - Accent4 2 3 3 3 2 2" xfId="12936"/>
    <cellStyle name="40% - Accent4 2 3 3 3 2 3" xfId="19091"/>
    <cellStyle name="40% - Accent4 2 3 3 3 2 4" xfId="25218"/>
    <cellStyle name="40% - Accent4 2 3 3 3 3" xfId="9849"/>
    <cellStyle name="40% - Accent4 2 3 3 3 4" xfId="16014"/>
    <cellStyle name="40% - Accent4 2 3 3 3 5" xfId="22142"/>
    <cellStyle name="40% - Accent4 2 3 3 4" xfId="5551"/>
    <cellStyle name="40% - Accent4 2 3 3 4 2" xfId="11793"/>
    <cellStyle name="40% - Accent4 2 3 3 4 3" xfId="17948"/>
    <cellStyle name="40% - Accent4 2 3 3 4 4" xfId="24075"/>
    <cellStyle name="40% - Accent4 2 3 3 5" xfId="8705"/>
    <cellStyle name="40% - Accent4 2 3 3 6" xfId="14568"/>
    <cellStyle name="40% - Accent4 2 3 3 7" xfId="20885"/>
    <cellStyle name="40% - Accent4 2 3 4" xfId="2027"/>
    <cellStyle name="40% - Accent4 2 3 4 2" xfId="3566"/>
    <cellStyle name="40% - Accent4 2 3 4 2 2" xfId="6697"/>
    <cellStyle name="40% - Accent4 2 3 4 2 2 2" xfId="12939"/>
    <cellStyle name="40% - Accent4 2 3 4 2 2 3" xfId="19094"/>
    <cellStyle name="40% - Accent4 2 3 4 2 2 4" xfId="25221"/>
    <cellStyle name="40% - Accent4 2 3 4 2 3" xfId="9852"/>
    <cellStyle name="40% - Accent4 2 3 4 2 4" xfId="16017"/>
    <cellStyle name="40% - Accent4 2 3 4 2 5" xfId="22145"/>
    <cellStyle name="40% - Accent4 2 3 4 3" xfId="3565"/>
    <cellStyle name="40% - Accent4 2 3 4 3 2" xfId="6696"/>
    <cellStyle name="40% - Accent4 2 3 4 3 2 2" xfId="12938"/>
    <cellStyle name="40% - Accent4 2 3 4 3 2 3" xfId="19093"/>
    <cellStyle name="40% - Accent4 2 3 4 3 2 4" xfId="25220"/>
    <cellStyle name="40% - Accent4 2 3 4 3 3" xfId="9851"/>
    <cellStyle name="40% - Accent4 2 3 4 3 4" xfId="16016"/>
    <cellStyle name="40% - Accent4 2 3 4 3 5" xfId="22144"/>
    <cellStyle name="40% - Accent4 2 3 4 4" xfId="5369"/>
    <cellStyle name="40% - Accent4 2 3 4 4 2" xfId="11611"/>
    <cellStyle name="40% - Accent4 2 3 4 4 3" xfId="17766"/>
    <cellStyle name="40% - Accent4 2 3 4 4 4" xfId="23893"/>
    <cellStyle name="40% - Accent4 2 3 4 5" xfId="8524"/>
    <cellStyle name="40% - Accent4 2 3 4 6" xfId="14569"/>
    <cellStyle name="40% - Accent4 2 3 4 7" xfId="20704"/>
    <cellStyle name="40% - Accent4 2 3 5" xfId="3567"/>
    <cellStyle name="40% - Accent4 2 3 6" xfId="3568"/>
    <cellStyle name="40% - Accent4 2 3 6 2" xfId="6698"/>
    <cellStyle name="40% - Accent4 2 3 6 2 2" xfId="12940"/>
    <cellStyle name="40% - Accent4 2 3 6 2 3" xfId="19095"/>
    <cellStyle name="40% - Accent4 2 3 6 2 4" xfId="25222"/>
    <cellStyle name="40% - Accent4 2 3 6 3" xfId="9853"/>
    <cellStyle name="40% - Accent4 2 3 6 4" xfId="16018"/>
    <cellStyle name="40% - Accent4 2 3 6 5" xfId="22146"/>
    <cellStyle name="40% - Accent4 2 4" xfId="2330"/>
    <cellStyle name="40% - Accent4 2 4 2" xfId="3570"/>
    <cellStyle name="40% - Accent4 2 4 2 2" xfId="6700"/>
    <cellStyle name="40% - Accent4 2 4 2 2 2" xfId="12942"/>
    <cellStyle name="40% - Accent4 2 4 2 2 3" xfId="19097"/>
    <cellStyle name="40% - Accent4 2 4 2 2 4" xfId="25224"/>
    <cellStyle name="40% - Accent4 2 4 2 3" xfId="9855"/>
    <cellStyle name="40% - Accent4 2 4 2 4" xfId="16020"/>
    <cellStyle name="40% - Accent4 2 4 2 5" xfId="22148"/>
    <cellStyle name="40% - Accent4 2 4 3" xfId="3569"/>
    <cellStyle name="40% - Accent4 2 4 3 2" xfId="6699"/>
    <cellStyle name="40% - Accent4 2 4 3 2 2" xfId="12941"/>
    <cellStyle name="40% - Accent4 2 4 3 2 3" xfId="19096"/>
    <cellStyle name="40% - Accent4 2 4 3 2 4" xfId="25223"/>
    <cellStyle name="40% - Accent4 2 4 3 3" xfId="9854"/>
    <cellStyle name="40% - Accent4 2 4 3 4" xfId="16019"/>
    <cellStyle name="40% - Accent4 2 4 3 5" xfId="22147"/>
    <cellStyle name="40% - Accent4 2 4 4" xfId="5643"/>
    <cellStyle name="40% - Accent4 2 4 4 2" xfId="11885"/>
    <cellStyle name="40% - Accent4 2 4 4 3" xfId="18040"/>
    <cellStyle name="40% - Accent4 2 4 4 4" xfId="24167"/>
    <cellStyle name="40% - Accent4 2 4 5" xfId="8797"/>
    <cellStyle name="40% - Accent4 2 4 6" xfId="14570"/>
    <cellStyle name="40% - Accent4 2 4 7" xfId="20977"/>
    <cellStyle name="40% - Accent4 2 5" xfId="2163"/>
    <cellStyle name="40% - Accent4 2 5 2" xfId="3572"/>
    <cellStyle name="40% - Accent4 2 5 2 2" xfId="6702"/>
    <cellStyle name="40% - Accent4 2 5 2 2 2" xfId="12944"/>
    <cellStyle name="40% - Accent4 2 5 2 2 3" xfId="19099"/>
    <cellStyle name="40% - Accent4 2 5 2 2 4" xfId="25226"/>
    <cellStyle name="40% - Accent4 2 5 2 3" xfId="9857"/>
    <cellStyle name="40% - Accent4 2 5 2 4" xfId="16022"/>
    <cellStyle name="40% - Accent4 2 5 2 5" xfId="22150"/>
    <cellStyle name="40% - Accent4 2 5 3" xfId="3571"/>
    <cellStyle name="40% - Accent4 2 5 3 2" xfId="6701"/>
    <cellStyle name="40% - Accent4 2 5 3 2 2" xfId="12943"/>
    <cellStyle name="40% - Accent4 2 5 3 2 3" xfId="19098"/>
    <cellStyle name="40% - Accent4 2 5 3 2 4" xfId="25225"/>
    <cellStyle name="40% - Accent4 2 5 3 3" xfId="9856"/>
    <cellStyle name="40% - Accent4 2 5 3 4" xfId="16021"/>
    <cellStyle name="40% - Accent4 2 5 3 5" xfId="22149"/>
    <cellStyle name="40% - Accent4 2 5 4" xfId="5476"/>
    <cellStyle name="40% - Accent4 2 5 4 2" xfId="11718"/>
    <cellStyle name="40% - Accent4 2 5 4 3" xfId="17873"/>
    <cellStyle name="40% - Accent4 2 5 4 4" xfId="24000"/>
    <cellStyle name="40% - Accent4 2 5 5" xfId="8630"/>
    <cellStyle name="40% - Accent4 2 5 6" xfId="14571"/>
    <cellStyle name="40% - Accent4 2 5 7" xfId="20810"/>
    <cellStyle name="40% - Accent4 2 6" xfId="800"/>
    <cellStyle name="40% - Accent4 2 6 2" xfId="3574"/>
    <cellStyle name="40% - Accent4 2 6 2 2" xfId="6704"/>
    <cellStyle name="40% - Accent4 2 6 2 2 2" xfId="12946"/>
    <cellStyle name="40% - Accent4 2 6 2 2 3" xfId="19101"/>
    <cellStyle name="40% - Accent4 2 6 2 2 4" xfId="25228"/>
    <cellStyle name="40% - Accent4 2 6 2 3" xfId="9859"/>
    <cellStyle name="40% - Accent4 2 6 2 4" xfId="16024"/>
    <cellStyle name="40% - Accent4 2 6 2 5" xfId="22152"/>
    <cellStyle name="40% - Accent4 2 6 3" xfId="3573"/>
    <cellStyle name="40% - Accent4 2 6 3 2" xfId="6703"/>
    <cellStyle name="40% - Accent4 2 6 3 2 2" xfId="12945"/>
    <cellStyle name="40% - Accent4 2 6 3 2 3" xfId="19100"/>
    <cellStyle name="40% - Accent4 2 6 3 2 4" xfId="25227"/>
    <cellStyle name="40% - Accent4 2 6 3 3" xfId="9858"/>
    <cellStyle name="40% - Accent4 2 6 3 4" xfId="16023"/>
    <cellStyle name="40% - Accent4 2 6 3 5" xfId="22151"/>
    <cellStyle name="40% - Accent4 2 6 4" xfId="5149"/>
    <cellStyle name="40% - Accent4 2 6 4 2" xfId="11392"/>
    <cellStyle name="40% - Accent4 2 6 4 3" xfId="17547"/>
    <cellStyle name="40% - Accent4 2 6 4 4" xfId="23674"/>
    <cellStyle name="40% - Accent4 2 6 5" xfId="8306"/>
    <cellStyle name="40% - Accent4 2 6 6" xfId="14572"/>
    <cellStyle name="40% - Accent4 2 6 7" xfId="20489"/>
    <cellStyle name="40% - Accent4 2 7" xfId="247"/>
    <cellStyle name="40% - Accent4 2 7 2" xfId="3576"/>
    <cellStyle name="40% - Accent4 2 7 2 2" xfId="6706"/>
    <cellStyle name="40% - Accent4 2 7 2 2 2" xfId="12948"/>
    <cellStyle name="40% - Accent4 2 7 2 2 3" xfId="19103"/>
    <cellStyle name="40% - Accent4 2 7 2 2 4" xfId="25230"/>
    <cellStyle name="40% - Accent4 2 7 2 3" xfId="9861"/>
    <cellStyle name="40% - Accent4 2 7 2 4" xfId="16026"/>
    <cellStyle name="40% - Accent4 2 7 2 5" xfId="22154"/>
    <cellStyle name="40% - Accent4 2 7 3" xfId="3575"/>
    <cellStyle name="40% - Accent4 2 7 3 2" xfId="6705"/>
    <cellStyle name="40% - Accent4 2 7 3 2 2" xfId="12947"/>
    <cellStyle name="40% - Accent4 2 7 3 2 3" xfId="19102"/>
    <cellStyle name="40% - Accent4 2 7 3 2 4" xfId="25229"/>
    <cellStyle name="40% - Accent4 2 7 3 3" xfId="9860"/>
    <cellStyle name="40% - Accent4 2 7 3 4" xfId="16025"/>
    <cellStyle name="40% - Accent4 2 7 3 5" xfId="22153"/>
    <cellStyle name="40% - Accent4 2 7 4" xfId="5027"/>
    <cellStyle name="40% - Accent4 2 7 4 2" xfId="11270"/>
    <cellStyle name="40% - Accent4 2 7 4 3" xfId="17425"/>
    <cellStyle name="40% - Accent4 2 7 4 4" xfId="23552"/>
    <cellStyle name="40% - Accent4 2 7 5" xfId="8185"/>
    <cellStyle name="40% - Accent4 2 7 6" xfId="14573"/>
    <cellStyle name="40% - Accent4 2 7 7" xfId="21181"/>
    <cellStyle name="40% - Accent4 2 8" xfId="3577"/>
    <cellStyle name="40% - Accent4 2 8 2" xfId="6707"/>
    <cellStyle name="40% - Accent4 2 8 2 2" xfId="12949"/>
    <cellStyle name="40% - Accent4 2 8 2 3" xfId="19104"/>
    <cellStyle name="40% - Accent4 2 8 2 4" xfId="25231"/>
    <cellStyle name="40% - Accent4 2 8 3" xfId="9862"/>
    <cellStyle name="40% - Accent4 2 8 4" xfId="16027"/>
    <cellStyle name="40% - Accent4 2 8 5" xfId="22155"/>
    <cellStyle name="40% - Accent4 2 9" xfId="3578"/>
    <cellStyle name="40% - Accent4 2 9 2" xfId="6708"/>
    <cellStyle name="40% - Accent4 2 9 2 2" xfId="12950"/>
    <cellStyle name="40% - Accent4 2 9 2 3" xfId="19105"/>
    <cellStyle name="40% - Accent4 2 9 2 4" xfId="25232"/>
    <cellStyle name="40% - Accent4 2 9 3" xfId="9863"/>
    <cellStyle name="40% - Accent4 2 9 4" xfId="16028"/>
    <cellStyle name="40% - Accent4 2 9 5" xfId="22156"/>
    <cellStyle name="40% - Accent4 3" xfId="88"/>
    <cellStyle name="40% - Accent4 3 10" xfId="3579"/>
    <cellStyle name="40% - Accent4 3 10 2" xfId="6709"/>
    <cellStyle name="40% - Accent4 3 10 2 2" xfId="12951"/>
    <cellStyle name="40% - Accent4 3 10 2 3" xfId="19106"/>
    <cellStyle name="40% - Accent4 3 10 2 4" xfId="25233"/>
    <cellStyle name="40% - Accent4 3 10 3" xfId="9864"/>
    <cellStyle name="40% - Accent4 3 10 4" xfId="16029"/>
    <cellStyle name="40% - Accent4 3 10 5" xfId="22157"/>
    <cellStyle name="40% - Accent4 3 11" xfId="4937"/>
    <cellStyle name="40% - Accent4 3 11 2" xfId="11181"/>
    <cellStyle name="40% - Accent4 3 11 3" xfId="17336"/>
    <cellStyle name="40% - Accent4 3 11 4" xfId="23463"/>
    <cellStyle name="40% - Accent4 3 12" xfId="8095"/>
    <cellStyle name="40% - Accent4 3 13" xfId="14574"/>
    <cellStyle name="40% - Accent4 3 14" xfId="20375"/>
    <cellStyle name="40% - Accent4 3 2" xfId="89"/>
    <cellStyle name="40% - Accent4 3 2 10" xfId="4938"/>
    <cellStyle name="40% - Accent4 3 2 10 2" xfId="11182"/>
    <cellStyle name="40% - Accent4 3 2 10 3" xfId="17337"/>
    <cellStyle name="40% - Accent4 3 2 10 4" xfId="23464"/>
    <cellStyle name="40% - Accent4 3 2 11" xfId="8096"/>
    <cellStyle name="40% - Accent4 3 2 12" xfId="14575"/>
    <cellStyle name="40% - Accent4 3 2 13" xfId="20376"/>
    <cellStyle name="40% - Accent4 3 2 2" xfId="2030"/>
    <cellStyle name="40% - Accent4 3 2 2 10" xfId="20707"/>
    <cellStyle name="40% - Accent4 3 2 2 2" xfId="2416"/>
    <cellStyle name="40% - Accent4 3 2 2 2 2" xfId="3583"/>
    <cellStyle name="40% - Accent4 3 2 2 2 2 2" xfId="6713"/>
    <cellStyle name="40% - Accent4 3 2 2 2 2 2 2" xfId="12955"/>
    <cellStyle name="40% - Accent4 3 2 2 2 2 2 3" xfId="19110"/>
    <cellStyle name="40% - Accent4 3 2 2 2 2 2 4" xfId="25237"/>
    <cellStyle name="40% - Accent4 3 2 2 2 2 3" xfId="9868"/>
    <cellStyle name="40% - Accent4 3 2 2 2 2 4" xfId="16033"/>
    <cellStyle name="40% - Accent4 3 2 2 2 2 5" xfId="22161"/>
    <cellStyle name="40% - Accent4 3 2 2 2 3" xfId="3582"/>
    <cellStyle name="40% - Accent4 3 2 2 2 3 2" xfId="6712"/>
    <cellStyle name="40% - Accent4 3 2 2 2 3 2 2" xfId="12954"/>
    <cellStyle name="40% - Accent4 3 2 2 2 3 2 3" xfId="19109"/>
    <cellStyle name="40% - Accent4 3 2 2 2 3 2 4" xfId="25236"/>
    <cellStyle name="40% - Accent4 3 2 2 2 3 3" xfId="9867"/>
    <cellStyle name="40% - Accent4 3 2 2 2 3 4" xfId="16032"/>
    <cellStyle name="40% - Accent4 3 2 2 2 3 5" xfId="22160"/>
    <cellStyle name="40% - Accent4 3 2 2 2 4" xfId="5729"/>
    <cellStyle name="40% - Accent4 3 2 2 2 4 2" xfId="11971"/>
    <cellStyle name="40% - Accent4 3 2 2 2 4 3" xfId="18126"/>
    <cellStyle name="40% - Accent4 3 2 2 2 4 4" xfId="24253"/>
    <cellStyle name="40% - Accent4 3 2 2 2 5" xfId="8883"/>
    <cellStyle name="40% - Accent4 3 2 2 2 6" xfId="14577"/>
    <cellStyle name="40% - Accent4 3 2 2 2 7" xfId="21063"/>
    <cellStyle name="40% - Accent4 3 2 2 3" xfId="2241"/>
    <cellStyle name="40% - Accent4 3 2 2 3 2" xfId="3585"/>
    <cellStyle name="40% - Accent4 3 2 2 3 2 2" xfId="6715"/>
    <cellStyle name="40% - Accent4 3 2 2 3 2 2 2" xfId="12957"/>
    <cellStyle name="40% - Accent4 3 2 2 3 2 2 3" xfId="19112"/>
    <cellStyle name="40% - Accent4 3 2 2 3 2 2 4" xfId="25239"/>
    <cellStyle name="40% - Accent4 3 2 2 3 2 3" xfId="9870"/>
    <cellStyle name="40% - Accent4 3 2 2 3 2 4" xfId="16035"/>
    <cellStyle name="40% - Accent4 3 2 2 3 2 5" xfId="22163"/>
    <cellStyle name="40% - Accent4 3 2 2 3 3" xfId="3584"/>
    <cellStyle name="40% - Accent4 3 2 2 3 3 2" xfId="6714"/>
    <cellStyle name="40% - Accent4 3 2 2 3 3 2 2" xfId="12956"/>
    <cellStyle name="40% - Accent4 3 2 2 3 3 2 3" xfId="19111"/>
    <cellStyle name="40% - Accent4 3 2 2 3 3 2 4" xfId="25238"/>
    <cellStyle name="40% - Accent4 3 2 2 3 3 3" xfId="9869"/>
    <cellStyle name="40% - Accent4 3 2 2 3 3 4" xfId="16034"/>
    <cellStyle name="40% - Accent4 3 2 2 3 3 5" xfId="22162"/>
    <cellStyle name="40% - Accent4 3 2 2 3 4" xfId="5554"/>
    <cellStyle name="40% - Accent4 3 2 2 3 4 2" xfId="11796"/>
    <cellStyle name="40% - Accent4 3 2 2 3 4 3" xfId="17951"/>
    <cellStyle name="40% - Accent4 3 2 2 3 4 4" xfId="24078"/>
    <cellStyle name="40% - Accent4 3 2 2 3 5" xfId="8708"/>
    <cellStyle name="40% - Accent4 3 2 2 3 6" xfId="14578"/>
    <cellStyle name="40% - Accent4 3 2 2 3 7" xfId="20888"/>
    <cellStyle name="40% - Accent4 3 2 2 4" xfId="3586"/>
    <cellStyle name="40% - Accent4 3 2 2 4 2" xfId="6716"/>
    <cellStyle name="40% - Accent4 3 2 2 4 2 2" xfId="12958"/>
    <cellStyle name="40% - Accent4 3 2 2 4 2 3" xfId="19113"/>
    <cellStyle name="40% - Accent4 3 2 2 4 2 4" xfId="25240"/>
    <cellStyle name="40% - Accent4 3 2 2 4 3" xfId="9871"/>
    <cellStyle name="40% - Accent4 3 2 2 4 4" xfId="16036"/>
    <cellStyle name="40% - Accent4 3 2 2 4 5" xfId="22164"/>
    <cellStyle name="40% - Accent4 3 2 2 5" xfId="3587"/>
    <cellStyle name="40% - Accent4 3 2 2 5 2" xfId="6717"/>
    <cellStyle name="40% - Accent4 3 2 2 5 2 2" xfId="12959"/>
    <cellStyle name="40% - Accent4 3 2 2 5 2 3" xfId="19114"/>
    <cellStyle name="40% - Accent4 3 2 2 5 2 4" xfId="25241"/>
    <cellStyle name="40% - Accent4 3 2 2 5 3" xfId="9872"/>
    <cellStyle name="40% - Accent4 3 2 2 5 4" xfId="16037"/>
    <cellStyle name="40% - Accent4 3 2 2 5 5" xfId="22165"/>
    <cellStyle name="40% - Accent4 3 2 2 6" xfId="3581"/>
    <cellStyle name="40% - Accent4 3 2 2 6 2" xfId="6711"/>
    <cellStyle name="40% - Accent4 3 2 2 6 2 2" xfId="12953"/>
    <cellStyle name="40% - Accent4 3 2 2 6 2 3" xfId="19108"/>
    <cellStyle name="40% - Accent4 3 2 2 6 2 4" xfId="25235"/>
    <cellStyle name="40% - Accent4 3 2 2 6 3" xfId="9866"/>
    <cellStyle name="40% - Accent4 3 2 2 6 4" xfId="16031"/>
    <cellStyle name="40% - Accent4 3 2 2 6 5" xfId="22159"/>
    <cellStyle name="40% - Accent4 3 2 2 7" xfId="5372"/>
    <cellStyle name="40% - Accent4 3 2 2 7 2" xfId="11614"/>
    <cellStyle name="40% - Accent4 3 2 2 7 3" xfId="17769"/>
    <cellStyle name="40% - Accent4 3 2 2 7 4" xfId="23896"/>
    <cellStyle name="40% - Accent4 3 2 2 8" xfId="8527"/>
    <cellStyle name="40% - Accent4 3 2 2 9" xfId="14576"/>
    <cellStyle name="40% - Accent4 3 2 3" xfId="2333"/>
    <cellStyle name="40% - Accent4 3 2 3 2" xfId="3589"/>
    <cellStyle name="40% - Accent4 3 2 3 2 2" xfId="6719"/>
    <cellStyle name="40% - Accent4 3 2 3 2 2 2" xfId="12961"/>
    <cellStyle name="40% - Accent4 3 2 3 2 2 3" xfId="19116"/>
    <cellStyle name="40% - Accent4 3 2 3 2 2 4" xfId="25243"/>
    <cellStyle name="40% - Accent4 3 2 3 2 3" xfId="9874"/>
    <cellStyle name="40% - Accent4 3 2 3 2 4" xfId="16039"/>
    <cellStyle name="40% - Accent4 3 2 3 2 5" xfId="22167"/>
    <cellStyle name="40% - Accent4 3 2 3 3" xfId="3588"/>
    <cellStyle name="40% - Accent4 3 2 3 3 2" xfId="6718"/>
    <cellStyle name="40% - Accent4 3 2 3 3 2 2" xfId="12960"/>
    <cellStyle name="40% - Accent4 3 2 3 3 2 3" xfId="19115"/>
    <cellStyle name="40% - Accent4 3 2 3 3 2 4" xfId="25242"/>
    <cellStyle name="40% - Accent4 3 2 3 3 3" xfId="9873"/>
    <cellStyle name="40% - Accent4 3 2 3 3 4" xfId="16038"/>
    <cellStyle name="40% - Accent4 3 2 3 3 5" xfId="22166"/>
    <cellStyle name="40% - Accent4 3 2 3 4" xfId="5646"/>
    <cellStyle name="40% - Accent4 3 2 3 4 2" xfId="11888"/>
    <cellStyle name="40% - Accent4 3 2 3 4 3" xfId="18043"/>
    <cellStyle name="40% - Accent4 3 2 3 4 4" xfId="24170"/>
    <cellStyle name="40% - Accent4 3 2 3 5" xfId="8800"/>
    <cellStyle name="40% - Accent4 3 2 3 6" xfId="14579"/>
    <cellStyle name="40% - Accent4 3 2 3 7" xfId="20980"/>
    <cellStyle name="40% - Accent4 3 2 4" xfId="2166"/>
    <cellStyle name="40% - Accent4 3 2 4 2" xfId="3591"/>
    <cellStyle name="40% - Accent4 3 2 4 2 2" xfId="6721"/>
    <cellStyle name="40% - Accent4 3 2 4 2 2 2" xfId="12963"/>
    <cellStyle name="40% - Accent4 3 2 4 2 2 3" xfId="19118"/>
    <cellStyle name="40% - Accent4 3 2 4 2 2 4" xfId="25245"/>
    <cellStyle name="40% - Accent4 3 2 4 2 3" xfId="9876"/>
    <cellStyle name="40% - Accent4 3 2 4 2 4" xfId="16041"/>
    <cellStyle name="40% - Accent4 3 2 4 2 5" xfId="22169"/>
    <cellStyle name="40% - Accent4 3 2 4 3" xfId="3590"/>
    <cellStyle name="40% - Accent4 3 2 4 3 2" xfId="6720"/>
    <cellStyle name="40% - Accent4 3 2 4 3 2 2" xfId="12962"/>
    <cellStyle name="40% - Accent4 3 2 4 3 2 3" xfId="19117"/>
    <cellStyle name="40% - Accent4 3 2 4 3 2 4" xfId="25244"/>
    <cellStyle name="40% - Accent4 3 2 4 3 3" xfId="9875"/>
    <cellStyle name="40% - Accent4 3 2 4 3 4" xfId="16040"/>
    <cellStyle name="40% - Accent4 3 2 4 3 5" xfId="22168"/>
    <cellStyle name="40% - Accent4 3 2 4 4" xfId="5479"/>
    <cellStyle name="40% - Accent4 3 2 4 4 2" xfId="11721"/>
    <cellStyle name="40% - Accent4 3 2 4 4 3" xfId="17876"/>
    <cellStyle name="40% - Accent4 3 2 4 4 4" xfId="24003"/>
    <cellStyle name="40% - Accent4 3 2 4 5" xfId="8633"/>
    <cellStyle name="40% - Accent4 3 2 4 6" xfId="14580"/>
    <cellStyle name="40% - Accent4 3 2 4 7" xfId="20813"/>
    <cellStyle name="40% - Accent4 3 2 5" xfId="803"/>
    <cellStyle name="40% - Accent4 3 2 5 2" xfId="3593"/>
    <cellStyle name="40% - Accent4 3 2 5 2 2" xfId="6723"/>
    <cellStyle name="40% - Accent4 3 2 5 2 2 2" xfId="12965"/>
    <cellStyle name="40% - Accent4 3 2 5 2 2 3" xfId="19120"/>
    <cellStyle name="40% - Accent4 3 2 5 2 2 4" xfId="25247"/>
    <cellStyle name="40% - Accent4 3 2 5 2 3" xfId="9878"/>
    <cellStyle name="40% - Accent4 3 2 5 2 4" xfId="16043"/>
    <cellStyle name="40% - Accent4 3 2 5 2 5" xfId="22171"/>
    <cellStyle name="40% - Accent4 3 2 5 3" xfId="3592"/>
    <cellStyle name="40% - Accent4 3 2 5 3 2" xfId="6722"/>
    <cellStyle name="40% - Accent4 3 2 5 3 2 2" xfId="12964"/>
    <cellStyle name="40% - Accent4 3 2 5 3 2 3" xfId="19119"/>
    <cellStyle name="40% - Accent4 3 2 5 3 2 4" xfId="25246"/>
    <cellStyle name="40% - Accent4 3 2 5 3 3" xfId="9877"/>
    <cellStyle name="40% - Accent4 3 2 5 3 4" xfId="16042"/>
    <cellStyle name="40% - Accent4 3 2 5 3 5" xfId="22170"/>
    <cellStyle name="40% - Accent4 3 2 5 4" xfId="5152"/>
    <cellStyle name="40% - Accent4 3 2 5 4 2" xfId="11395"/>
    <cellStyle name="40% - Accent4 3 2 5 4 3" xfId="17550"/>
    <cellStyle name="40% - Accent4 3 2 5 4 4" xfId="23677"/>
    <cellStyle name="40% - Accent4 3 2 5 5" xfId="8309"/>
    <cellStyle name="40% - Accent4 3 2 5 6" xfId="14581"/>
    <cellStyle name="40% - Accent4 3 2 5 7" xfId="20492"/>
    <cellStyle name="40% - Accent4 3 2 6" xfId="250"/>
    <cellStyle name="40% - Accent4 3 2 6 2" xfId="3595"/>
    <cellStyle name="40% - Accent4 3 2 6 2 2" xfId="6725"/>
    <cellStyle name="40% - Accent4 3 2 6 2 2 2" xfId="12967"/>
    <cellStyle name="40% - Accent4 3 2 6 2 2 3" xfId="19122"/>
    <cellStyle name="40% - Accent4 3 2 6 2 2 4" xfId="25249"/>
    <cellStyle name="40% - Accent4 3 2 6 2 3" xfId="9880"/>
    <cellStyle name="40% - Accent4 3 2 6 2 4" xfId="16045"/>
    <cellStyle name="40% - Accent4 3 2 6 2 5" xfId="22173"/>
    <cellStyle name="40% - Accent4 3 2 6 3" xfId="3594"/>
    <cellStyle name="40% - Accent4 3 2 6 3 2" xfId="6724"/>
    <cellStyle name="40% - Accent4 3 2 6 3 2 2" xfId="12966"/>
    <cellStyle name="40% - Accent4 3 2 6 3 2 3" xfId="19121"/>
    <cellStyle name="40% - Accent4 3 2 6 3 2 4" xfId="25248"/>
    <cellStyle name="40% - Accent4 3 2 6 3 3" xfId="9879"/>
    <cellStyle name="40% - Accent4 3 2 6 3 4" xfId="16044"/>
    <cellStyle name="40% - Accent4 3 2 6 3 5" xfId="22172"/>
    <cellStyle name="40% - Accent4 3 2 6 4" xfId="5030"/>
    <cellStyle name="40% - Accent4 3 2 6 4 2" xfId="11273"/>
    <cellStyle name="40% - Accent4 3 2 6 4 3" xfId="17428"/>
    <cellStyle name="40% - Accent4 3 2 6 4 4" xfId="23555"/>
    <cellStyle name="40% - Accent4 3 2 6 5" xfId="8188"/>
    <cellStyle name="40% - Accent4 3 2 6 6" xfId="14582"/>
    <cellStyle name="40% - Accent4 3 2 6 7" xfId="21184"/>
    <cellStyle name="40% - Accent4 3 2 7" xfId="3596"/>
    <cellStyle name="40% - Accent4 3 2 7 2" xfId="6726"/>
    <cellStyle name="40% - Accent4 3 2 7 2 2" xfId="12968"/>
    <cellStyle name="40% - Accent4 3 2 7 2 3" xfId="19123"/>
    <cellStyle name="40% - Accent4 3 2 7 2 4" xfId="25250"/>
    <cellStyle name="40% - Accent4 3 2 7 3" xfId="9881"/>
    <cellStyle name="40% - Accent4 3 2 7 4" xfId="16046"/>
    <cellStyle name="40% - Accent4 3 2 7 5" xfId="22174"/>
    <cellStyle name="40% - Accent4 3 2 8" xfId="3597"/>
    <cellStyle name="40% - Accent4 3 2 8 2" xfId="6727"/>
    <cellStyle name="40% - Accent4 3 2 8 2 2" xfId="12969"/>
    <cellStyle name="40% - Accent4 3 2 8 2 3" xfId="19124"/>
    <cellStyle name="40% - Accent4 3 2 8 2 4" xfId="25251"/>
    <cellStyle name="40% - Accent4 3 2 8 3" xfId="9882"/>
    <cellStyle name="40% - Accent4 3 2 8 4" xfId="16047"/>
    <cellStyle name="40% - Accent4 3 2 8 5" xfId="22175"/>
    <cellStyle name="40% - Accent4 3 2 9" xfId="3580"/>
    <cellStyle name="40% - Accent4 3 2 9 2" xfId="6710"/>
    <cellStyle name="40% - Accent4 3 2 9 2 2" xfId="12952"/>
    <cellStyle name="40% - Accent4 3 2 9 2 3" xfId="19107"/>
    <cellStyle name="40% - Accent4 3 2 9 2 4" xfId="25234"/>
    <cellStyle name="40% - Accent4 3 2 9 3" xfId="9865"/>
    <cellStyle name="40% - Accent4 3 2 9 4" xfId="16030"/>
    <cellStyle name="40% - Accent4 3 2 9 5" xfId="22158"/>
    <cellStyle name="40% - Accent4 3 3" xfId="2029"/>
    <cellStyle name="40% - Accent4 3 3 10" xfId="20706"/>
    <cellStyle name="40% - Accent4 3 3 2" xfId="2415"/>
    <cellStyle name="40% - Accent4 3 3 2 2" xfId="3600"/>
    <cellStyle name="40% - Accent4 3 3 2 2 2" xfId="6730"/>
    <cellStyle name="40% - Accent4 3 3 2 2 2 2" xfId="12972"/>
    <cellStyle name="40% - Accent4 3 3 2 2 2 3" xfId="19127"/>
    <cellStyle name="40% - Accent4 3 3 2 2 2 4" xfId="25254"/>
    <cellStyle name="40% - Accent4 3 3 2 2 3" xfId="9885"/>
    <cellStyle name="40% - Accent4 3 3 2 2 4" xfId="16050"/>
    <cellStyle name="40% - Accent4 3 3 2 2 5" xfId="22178"/>
    <cellStyle name="40% - Accent4 3 3 2 3" xfId="3599"/>
    <cellStyle name="40% - Accent4 3 3 2 3 2" xfId="6729"/>
    <cellStyle name="40% - Accent4 3 3 2 3 2 2" xfId="12971"/>
    <cellStyle name="40% - Accent4 3 3 2 3 2 3" xfId="19126"/>
    <cellStyle name="40% - Accent4 3 3 2 3 2 4" xfId="25253"/>
    <cellStyle name="40% - Accent4 3 3 2 3 3" xfId="9884"/>
    <cellStyle name="40% - Accent4 3 3 2 3 4" xfId="16049"/>
    <cellStyle name="40% - Accent4 3 3 2 3 5" xfId="22177"/>
    <cellStyle name="40% - Accent4 3 3 2 4" xfId="5728"/>
    <cellStyle name="40% - Accent4 3 3 2 4 2" xfId="11970"/>
    <cellStyle name="40% - Accent4 3 3 2 4 3" xfId="18125"/>
    <cellStyle name="40% - Accent4 3 3 2 4 4" xfId="24252"/>
    <cellStyle name="40% - Accent4 3 3 2 5" xfId="8882"/>
    <cellStyle name="40% - Accent4 3 3 2 6" xfId="14584"/>
    <cellStyle name="40% - Accent4 3 3 2 7" xfId="21062"/>
    <cellStyle name="40% - Accent4 3 3 3" xfId="2240"/>
    <cellStyle name="40% - Accent4 3 3 3 2" xfId="3602"/>
    <cellStyle name="40% - Accent4 3 3 3 2 2" xfId="6732"/>
    <cellStyle name="40% - Accent4 3 3 3 2 2 2" xfId="12974"/>
    <cellStyle name="40% - Accent4 3 3 3 2 2 3" xfId="19129"/>
    <cellStyle name="40% - Accent4 3 3 3 2 2 4" xfId="25256"/>
    <cellStyle name="40% - Accent4 3 3 3 2 3" xfId="9887"/>
    <cellStyle name="40% - Accent4 3 3 3 2 4" xfId="16052"/>
    <cellStyle name="40% - Accent4 3 3 3 2 5" xfId="22180"/>
    <cellStyle name="40% - Accent4 3 3 3 3" xfId="3601"/>
    <cellStyle name="40% - Accent4 3 3 3 3 2" xfId="6731"/>
    <cellStyle name="40% - Accent4 3 3 3 3 2 2" xfId="12973"/>
    <cellStyle name="40% - Accent4 3 3 3 3 2 3" xfId="19128"/>
    <cellStyle name="40% - Accent4 3 3 3 3 2 4" xfId="25255"/>
    <cellStyle name="40% - Accent4 3 3 3 3 3" xfId="9886"/>
    <cellStyle name="40% - Accent4 3 3 3 3 4" xfId="16051"/>
    <cellStyle name="40% - Accent4 3 3 3 3 5" xfId="22179"/>
    <cellStyle name="40% - Accent4 3 3 3 4" xfId="5553"/>
    <cellStyle name="40% - Accent4 3 3 3 4 2" xfId="11795"/>
    <cellStyle name="40% - Accent4 3 3 3 4 3" xfId="17950"/>
    <cellStyle name="40% - Accent4 3 3 3 4 4" xfId="24077"/>
    <cellStyle name="40% - Accent4 3 3 3 5" xfId="8707"/>
    <cellStyle name="40% - Accent4 3 3 3 6" xfId="14585"/>
    <cellStyle name="40% - Accent4 3 3 3 7" xfId="20887"/>
    <cellStyle name="40% - Accent4 3 3 4" xfId="3603"/>
    <cellStyle name="40% - Accent4 3 3 4 2" xfId="6733"/>
    <cellStyle name="40% - Accent4 3 3 4 2 2" xfId="12975"/>
    <cellStyle name="40% - Accent4 3 3 4 2 3" xfId="19130"/>
    <cellStyle name="40% - Accent4 3 3 4 2 4" xfId="25257"/>
    <cellStyle name="40% - Accent4 3 3 4 3" xfId="9888"/>
    <cellStyle name="40% - Accent4 3 3 4 4" xfId="16053"/>
    <cellStyle name="40% - Accent4 3 3 4 5" xfId="22181"/>
    <cellStyle name="40% - Accent4 3 3 5" xfId="3604"/>
    <cellStyle name="40% - Accent4 3 3 5 2" xfId="6734"/>
    <cellStyle name="40% - Accent4 3 3 5 2 2" xfId="12976"/>
    <cellStyle name="40% - Accent4 3 3 5 2 3" xfId="19131"/>
    <cellStyle name="40% - Accent4 3 3 5 2 4" xfId="25258"/>
    <cellStyle name="40% - Accent4 3 3 5 3" xfId="9889"/>
    <cellStyle name="40% - Accent4 3 3 5 4" xfId="16054"/>
    <cellStyle name="40% - Accent4 3 3 5 5" xfId="22182"/>
    <cellStyle name="40% - Accent4 3 3 6" xfId="3598"/>
    <cellStyle name="40% - Accent4 3 3 6 2" xfId="6728"/>
    <cellStyle name="40% - Accent4 3 3 6 2 2" xfId="12970"/>
    <cellStyle name="40% - Accent4 3 3 6 2 3" xfId="19125"/>
    <cellStyle name="40% - Accent4 3 3 6 2 4" xfId="25252"/>
    <cellStyle name="40% - Accent4 3 3 6 3" xfId="9883"/>
    <cellStyle name="40% - Accent4 3 3 6 4" xfId="16048"/>
    <cellStyle name="40% - Accent4 3 3 6 5" xfId="22176"/>
    <cellStyle name="40% - Accent4 3 3 7" xfId="5371"/>
    <cellStyle name="40% - Accent4 3 3 7 2" xfId="11613"/>
    <cellStyle name="40% - Accent4 3 3 7 3" xfId="17768"/>
    <cellStyle name="40% - Accent4 3 3 7 4" xfId="23895"/>
    <cellStyle name="40% - Accent4 3 3 8" xfId="8526"/>
    <cellStyle name="40% - Accent4 3 3 9" xfId="14583"/>
    <cellStyle name="40% - Accent4 3 4" xfId="2332"/>
    <cellStyle name="40% - Accent4 3 4 2" xfId="3606"/>
    <cellStyle name="40% - Accent4 3 4 2 2" xfId="6736"/>
    <cellStyle name="40% - Accent4 3 4 2 2 2" xfId="12978"/>
    <cellStyle name="40% - Accent4 3 4 2 2 3" xfId="19133"/>
    <cellStyle name="40% - Accent4 3 4 2 2 4" xfId="25260"/>
    <cellStyle name="40% - Accent4 3 4 2 3" xfId="9891"/>
    <cellStyle name="40% - Accent4 3 4 2 4" xfId="16056"/>
    <cellStyle name="40% - Accent4 3 4 2 5" xfId="22184"/>
    <cellStyle name="40% - Accent4 3 4 3" xfId="3605"/>
    <cellStyle name="40% - Accent4 3 4 3 2" xfId="6735"/>
    <cellStyle name="40% - Accent4 3 4 3 2 2" xfId="12977"/>
    <cellStyle name="40% - Accent4 3 4 3 2 3" xfId="19132"/>
    <cellStyle name="40% - Accent4 3 4 3 2 4" xfId="25259"/>
    <cellStyle name="40% - Accent4 3 4 3 3" xfId="9890"/>
    <cellStyle name="40% - Accent4 3 4 3 4" xfId="16055"/>
    <cellStyle name="40% - Accent4 3 4 3 5" xfId="22183"/>
    <cellStyle name="40% - Accent4 3 4 4" xfId="5645"/>
    <cellStyle name="40% - Accent4 3 4 4 2" xfId="11887"/>
    <cellStyle name="40% - Accent4 3 4 4 3" xfId="18042"/>
    <cellStyle name="40% - Accent4 3 4 4 4" xfId="24169"/>
    <cellStyle name="40% - Accent4 3 4 5" xfId="8799"/>
    <cellStyle name="40% - Accent4 3 4 6" xfId="14586"/>
    <cellStyle name="40% - Accent4 3 4 7" xfId="20979"/>
    <cellStyle name="40% - Accent4 3 5" xfId="2165"/>
    <cellStyle name="40% - Accent4 3 5 2" xfId="3608"/>
    <cellStyle name="40% - Accent4 3 5 2 2" xfId="6738"/>
    <cellStyle name="40% - Accent4 3 5 2 2 2" xfId="12980"/>
    <cellStyle name="40% - Accent4 3 5 2 2 3" xfId="19135"/>
    <cellStyle name="40% - Accent4 3 5 2 2 4" xfId="25262"/>
    <cellStyle name="40% - Accent4 3 5 2 3" xfId="9893"/>
    <cellStyle name="40% - Accent4 3 5 2 4" xfId="16058"/>
    <cellStyle name="40% - Accent4 3 5 2 5" xfId="22186"/>
    <cellStyle name="40% - Accent4 3 5 3" xfId="3607"/>
    <cellStyle name="40% - Accent4 3 5 3 2" xfId="6737"/>
    <cellStyle name="40% - Accent4 3 5 3 2 2" xfId="12979"/>
    <cellStyle name="40% - Accent4 3 5 3 2 3" xfId="19134"/>
    <cellStyle name="40% - Accent4 3 5 3 2 4" xfId="25261"/>
    <cellStyle name="40% - Accent4 3 5 3 3" xfId="9892"/>
    <cellStyle name="40% - Accent4 3 5 3 4" xfId="16057"/>
    <cellStyle name="40% - Accent4 3 5 3 5" xfId="22185"/>
    <cellStyle name="40% - Accent4 3 5 4" xfId="5478"/>
    <cellStyle name="40% - Accent4 3 5 4 2" xfId="11720"/>
    <cellStyle name="40% - Accent4 3 5 4 3" xfId="17875"/>
    <cellStyle name="40% - Accent4 3 5 4 4" xfId="24002"/>
    <cellStyle name="40% - Accent4 3 5 5" xfId="8632"/>
    <cellStyle name="40% - Accent4 3 5 6" xfId="14587"/>
    <cellStyle name="40% - Accent4 3 5 7" xfId="20812"/>
    <cellStyle name="40% - Accent4 3 6" xfId="802"/>
    <cellStyle name="40% - Accent4 3 6 2" xfId="3610"/>
    <cellStyle name="40% - Accent4 3 6 2 2" xfId="6740"/>
    <cellStyle name="40% - Accent4 3 6 2 2 2" xfId="12982"/>
    <cellStyle name="40% - Accent4 3 6 2 2 3" xfId="19137"/>
    <cellStyle name="40% - Accent4 3 6 2 2 4" xfId="25264"/>
    <cellStyle name="40% - Accent4 3 6 2 3" xfId="9895"/>
    <cellStyle name="40% - Accent4 3 6 2 4" xfId="16060"/>
    <cellStyle name="40% - Accent4 3 6 2 5" xfId="22188"/>
    <cellStyle name="40% - Accent4 3 6 3" xfId="3609"/>
    <cellStyle name="40% - Accent4 3 6 3 2" xfId="6739"/>
    <cellStyle name="40% - Accent4 3 6 3 2 2" xfId="12981"/>
    <cellStyle name="40% - Accent4 3 6 3 2 3" xfId="19136"/>
    <cellStyle name="40% - Accent4 3 6 3 2 4" xfId="25263"/>
    <cellStyle name="40% - Accent4 3 6 3 3" xfId="9894"/>
    <cellStyle name="40% - Accent4 3 6 3 4" xfId="16059"/>
    <cellStyle name="40% - Accent4 3 6 3 5" xfId="22187"/>
    <cellStyle name="40% - Accent4 3 6 4" xfId="5151"/>
    <cellStyle name="40% - Accent4 3 6 4 2" xfId="11394"/>
    <cellStyle name="40% - Accent4 3 6 4 3" xfId="17549"/>
    <cellStyle name="40% - Accent4 3 6 4 4" xfId="23676"/>
    <cellStyle name="40% - Accent4 3 6 5" xfId="8308"/>
    <cellStyle name="40% - Accent4 3 6 6" xfId="14588"/>
    <cellStyle name="40% - Accent4 3 6 7" xfId="20491"/>
    <cellStyle name="40% - Accent4 3 7" xfId="249"/>
    <cellStyle name="40% - Accent4 3 7 2" xfId="3612"/>
    <cellStyle name="40% - Accent4 3 7 2 2" xfId="6742"/>
    <cellStyle name="40% - Accent4 3 7 2 2 2" xfId="12984"/>
    <cellStyle name="40% - Accent4 3 7 2 2 3" xfId="19139"/>
    <cellStyle name="40% - Accent4 3 7 2 2 4" xfId="25266"/>
    <cellStyle name="40% - Accent4 3 7 2 3" xfId="9897"/>
    <cellStyle name="40% - Accent4 3 7 2 4" xfId="16062"/>
    <cellStyle name="40% - Accent4 3 7 2 5" xfId="22190"/>
    <cellStyle name="40% - Accent4 3 7 3" xfId="3611"/>
    <cellStyle name="40% - Accent4 3 7 3 2" xfId="6741"/>
    <cellStyle name="40% - Accent4 3 7 3 2 2" xfId="12983"/>
    <cellStyle name="40% - Accent4 3 7 3 2 3" xfId="19138"/>
    <cellStyle name="40% - Accent4 3 7 3 2 4" xfId="25265"/>
    <cellStyle name="40% - Accent4 3 7 3 3" xfId="9896"/>
    <cellStyle name="40% - Accent4 3 7 3 4" xfId="16061"/>
    <cellStyle name="40% - Accent4 3 7 3 5" xfId="22189"/>
    <cellStyle name="40% - Accent4 3 7 4" xfId="5029"/>
    <cellStyle name="40% - Accent4 3 7 4 2" xfId="11272"/>
    <cellStyle name="40% - Accent4 3 7 4 3" xfId="17427"/>
    <cellStyle name="40% - Accent4 3 7 4 4" xfId="23554"/>
    <cellStyle name="40% - Accent4 3 7 5" xfId="8187"/>
    <cellStyle name="40% - Accent4 3 7 6" xfId="14589"/>
    <cellStyle name="40% - Accent4 3 7 7" xfId="21183"/>
    <cellStyle name="40% - Accent4 3 8" xfId="3613"/>
    <cellStyle name="40% - Accent4 3 8 2" xfId="6743"/>
    <cellStyle name="40% - Accent4 3 8 2 2" xfId="12985"/>
    <cellStyle name="40% - Accent4 3 8 2 3" xfId="19140"/>
    <cellStyle name="40% - Accent4 3 8 2 4" xfId="25267"/>
    <cellStyle name="40% - Accent4 3 8 3" xfId="9898"/>
    <cellStyle name="40% - Accent4 3 8 4" xfId="16063"/>
    <cellStyle name="40% - Accent4 3 8 5" xfId="22191"/>
    <cellStyle name="40% - Accent4 3 9" xfId="3614"/>
    <cellStyle name="40% - Accent4 3 9 2" xfId="6744"/>
    <cellStyle name="40% - Accent4 3 9 2 2" xfId="12986"/>
    <cellStyle name="40% - Accent4 3 9 2 3" xfId="19141"/>
    <cellStyle name="40% - Accent4 3 9 2 4" xfId="25268"/>
    <cellStyle name="40% - Accent4 3 9 3" xfId="9899"/>
    <cellStyle name="40% - Accent4 3 9 4" xfId="16064"/>
    <cellStyle name="40% - Accent4 3 9 5" xfId="22192"/>
    <cellStyle name="40% - Accent4 4" xfId="90"/>
    <cellStyle name="40% - Accent4 4 2" xfId="91"/>
    <cellStyle name="40% - Accent4 4 2 10" xfId="4939"/>
    <cellStyle name="40% - Accent4 4 2 10 2" xfId="11183"/>
    <cellStyle name="40% - Accent4 4 2 10 3" xfId="17338"/>
    <cellStyle name="40% - Accent4 4 2 10 4" xfId="23465"/>
    <cellStyle name="40% - Accent4 4 2 11" xfId="8097"/>
    <cellStyle name="40% - Accent4 4 2 12" xfId="14590"/>
    <cellStyle name="40% - Accent4 4 2 13" xfId="20377"/>
    <cellStyle name="40% - Accent4 4 2 2" xfId="2032"/>
    <cellStyle name="40% - Accent4 4 2 2 10" xfId="20708"/>
    <cellStyle name="40% - Accent4 4 2 2 2" xfId="2417"/>
    <cellStyle name="40% - Accent4 4 2 2 2 2" xfId="3618"/>
    <cellStyle name="40% - Accent4 4 2 2 2 2 2" xfId="6748"/>
    <cellStyle name="40% - Accent4 4 2 2 2 2 2 2" xfId="12990"/>
    <cellStyle name="40% - Accent4 4 2 2 2 2 2 3" xfId="19145"/>
    <cellStyle name="40% - Accent4 4 2 2 2 2 2 4" xfId="25272"/>
    <cellStyle name="40% - Accent4 4 2 2 2 2 3" xfId="9903"/>
    <cellStyle name="40% - Accent4 4 2 2 2 2 4" xfId="16068"/>
    <cellStyle name="40% - Accent4 4 2 2 2 2 5" xfId="22196"/>
    <cellStyle name="40% - Accent4 4 2 2 2 3" xfId="3617"/>
    <cellStyle name="40% - Accent4 4 2 2 2 3 2" xfId="6747"/>
    <cellStyle name="40% - Accent4 4 2 2 2 3 2 2" xfId="12989"/>
    <cellStyle name="40% - Accent4 4 2 2 2 3 2 3" xfId="19144"/>
    <cellStyle name="40% - Accent4 4 2 2 2 3 2 4" xfId="25271"/>
    <cellStyle name="40% - Accent4 4 2 2 2 3 3" xfId="9902"/>
    <cellStyle name="40% - Accent4 4 2 2 2 3 4" xfId="16067"/>
    <cellStyle name="40% - Accent4 4 2 2 2 3 5" xfId="22195"/>
    <cellStyle name="40% - Accent4 4 2 2 2 4" xfId="5730"/>
    <cellStyle name="40% - Accent4 4 2 2 2 4 2" xfId="11972"/>
    <cellStyle name="40% - Accent4 4 2 2 2 4 3" xfId="18127"/>
    <cellStyle name="40% - Accent4 4 2 2 2 4 4" xfId="24254"/>
    <cellStyle name="40% - Accent4 4 2 2 2 5" xfId="8884"/>
    <cellStyle name="40% - Accent4 4 2 2 2 6" xfId="14592"/>
    <cellStyle name="40% - Accent4 4 2 2 2 7" xfId="21064"/>
    <cellStyle name="40% - Accent4 4 2 2 3" xfId="2242"/>
    <cellStyle name="40% - Accent4 4 2 2 3 2" xfId="3620"/>
    <cellStyle name="40% - Accent4 4 2 2 3 2 2" xfId="6750"/>
    <cellStyle name="40% - Accent4 4 2 2 3 2 2 2" xfId="12992"/>
    <cellStyle name="40% - Accent4 4 2 2 3 2 2 3" xfId="19147"/>
    <cellStyle name="40% - Accent4 4 2 2 3 2 2 4" xfId="25274"/>
    <cellStyle name="40% - Accent4 4 2 2 3 2 3" xfId="9905"/>
    <cellStyle name="40% - Accent4 4 2 2 3 2 4" xfId="16070"/>
    <cellStyle name="40% - Accent4 4 2 2 3 2 5" xfId="22198"/>
    <cellStyle name="40% - Accent4 4 2 2 3 3" xfId="3619"/>
    <cellStyle name="40% - Accent4 4 2 2 3 3 2" xfId="6749"/>
    <cellStyle name="40% - Accent4 4 2 2 3 3 2 2" xfId="12991"/>
    <cellStyle name="40% - Accent4 4 2 2 3 3 2 3" xfId="19146"/>
    <cellStyle name="40% - Accent4 4 2 2 3 3 2 4" xfId="25273"/>
    <cellStyle name="40% - Accent4 4 2 2 3 3 3" xfId="9904"/>
    <cellStyle name="40% - Accent4 4 2 2 3 3 4" xfId="16069"/>
    <cellStyle name="40% - Accent4 4 2 2 3 3 5" xfId="22197"/>
    <cellStyle name="40% - Accent4 4 2 2 3 4" xfId="5555"/>
    <cellStyle name="40% - Accent4 4 2 2 3 4 2" xfId="11797"/>
    <cellStyle name="40% - Accent4 4 2 2 3 4 3" xfId="17952"/>
    <cellStyle name="40% - Accent4 4 2 2 3 4 4" xfId="24079"/>
    <cellStyle name="40% - Accent4 4 2 2 3 5" xfId="8709"/>
    <cellStyle name="40% - Accent4 4 2 2 3 6" xfId="14593"/>
    <cellStyle name="40% - Accent4 4 2 2 3 7" xfId="20889"/>
    <cellStyle name="40% - Accent4 4 2 2 4" xfId="3621"/>
    <cellStyle name="40% - Accent4 4 2 2 4 2" xfId="6751"/>
    <cellStyle name="40% - Accent4 4 2 2 4 2 2" xfId="12993"/>
    <cellStyle name="40% - Accent4 4 2 2 4 2 3" xfId="19148"/>
    <cellStyle name="40% - Accent4 4 2 2 4 2 4" xfId="25275"/>
    <cellStyle name="40% - Accent4 4 2 2 4 3" xfId="9906"/>
    <cellStyle name="40% - Accent4 4 2 2 4 4" xfId="16071"/>
    <cellStyle name="40% - Accent4 4 2 2 4 5" xfId="22199"/>
    <cellStyle name="40% - Accent4 4 2 2 5" xfId="3622"/>
    <cellStyle name="40% - Accent4 4 2 2 5 2" xfId="6752"/>
    <cellStyle name="40% - Accent4 4 2 2 5 2 2" xfId="12994"/>
    <cellStyle name="40% - Accent4 4 2 2 5 2 3" xfId="19149"/>
    <cellStyle name="40% - Accent4 4 2 2 5 2 4" xfId="25276"/>
    <cellStyle name="40% - Accent4 4 2 2 5 3" xfId="9907"/>
    <cellStyle name="40% - Accent4 4 2 2 5 4" xfId="16072"/>
    <cellStyle name="40% - Accent4 4 2 2 5 5" xfId="22200"/>
    <cellStyle name="40% - Accent4 4 2 2 6" xfId="3616"/>
    <cellStyle name="40% - Accent4 4 2 2 6 2" xfId="6746"/>
    <cellStyle name="40% - Accent4 4 2 2 6 2 2" xfId="12988"/>
    <cellStyle name="40% - Accent4 4 2 2 6 2 3" xfId="19143"/>
    <cellStyle name="40% - Accent4 4 2 2 6 2 4" xfId="25270"/>
    <cellStyle name="40% - Accent4 4 2 2 6 3" xfId="9901"/>
    <cellStyle name="40% - Accent4 4 2 2 6 4" xfId="16066"/>
    <cellStyle name="40% - Accent4 4 2 2 6 5" xfId="22194"/>
    <cellStyle name="40% - Accent4 4 2 2 7" xfId="5373"/>
    <cellStyle name="40% - Accent4 4 2 2 7 2" xfId="11615"/>
    <cellStyle name="40% - Accent4 4 2 2 7 3" xfId="17770"/>
    <cellStyle name="40% - Accent4 4 2 2 7 4" xfId="23897"/>
    <cellStyle name="40% - Accent4 4 2 2 8" xfId="8528"/>
    <cellStyle name="40% - Accent4 4 2 2 9" xfId="14591"/>
    <cellStyle name="40% - Accent4 4 2 3" xfId="2334"/>
    <cellStyle name="40% - Accent4 4 2 3 2" xfId="3624"/>
    <cellStyle name="40% - Accent4 4 2 3 2 2" xfId="6754"/>
    <cellStyle name="40% - Accent4 4 2 3 2 2 2" xfId="12996"/>
    <cellStyle name="40% - Accent4 4 2 3 2 2 3" xfId="19151"/>
    <cellStyle name="40% - Accent4 4 2 3 2 2 4" xfId="25278"/>
    <cellStyle name="40% - Accent4 4 2 3 2 3" xfId="9909"/>
    <cellStyle name="40% - Accent4 4 2 3 2 4" xfId="16074"/>
    <cellStyle name="40% - Accent4 4 2 3 2 5" xfId="22202"/>
    <cellStyle name="40% - Accent4 4 2 3 3" xfId="3623"/>
    <cellStyle name="40% - Accent4 4 2 3 3 2" xfId="6753"/>
    <cellStyle name="40% - Accent4 4 2 3 3 2 2" xfId="12995"/>
    <cellStyle name="40% - Accent4 4 2 3 3 2 3" xfId="19150"/>
    <cellStyle name="40% - Accent4 4 2 3 3 2 4" xfId="25277"/>
    <cellStyle name="40% - Accent4 4 2 3 3 3" xfId="9908"/>
    <cellStyle name="40% - Accent4 4 2 3 3 4" xfId="16073"/>
    <cellStyle name="40% - Accent4 4 2 3 3 5" xfId="22201"/>
    <cellStyle name="40% - Accent4 4 2 3 4" xfId="5647"/>
    <cellStyle name="40% - Accent4 4 2 3 4 2" xfId="11889"/>
    <cellStyle name="40% - Accent4 4 2 3 4 3" xfId="18044"/>
    <cellStyle name="40% - Accent4 4 2 3 4 4" xfId="24171"/>
    <cellStyle name="40% - Accent4 4 2 3 5" xfId="8801"/>
    <cellStyle name="40% - Accent4 4 2 3 6" xfId="14594"/>
    <cellStyle name="40% - Accent4 4 2 3 7" xfId="20981"/>
    <cellStyle name="40% - Accent4 4 2 4" xfId="2167"/>
    <cellStyle name="40% - Accent4 4 2 4 2" xfId="3626"/>
    <cellStyle name="40% - Accent4 4 2 4 2 2" xfId="6756"/>
    <cellStyle name="40% - Accent4 4 2 4 2 2 2" xfId="12998"/>
    <cellStyle name="40% - Accent4 4 2 4 2 2 3" xfId="19153"/>
    <cellStyle name="40% - Accent4 4 2 4 2 2 4" xfId="25280"/>
    <cellStyle name="40% - Accent4 4 2 4 2 3" xfId="9911"/>
    <cellStyle name="40% - Accent4 4 2 4 2 4" xfId="16076"/>
    <cellStyle name="40% - Accent4 4 2 4 2 5" xfId="22204"/>
    <cellStyle name="40% - Accent4 4 2 4 3" xfId="3625"/>
    <cellStyle name="40% - Accent4 4 2 4 3 2" xfId="6755"/>
    <cellStyle name="40% - Accent4 4 2 4 3 2 2" xfId="12997"/>
    <cellStyle name="40% - Accent4 4 2 4 3 2 3" xfId="19152"/>
    <cellStyle name="40% - Accent4 4 2 4 3 2 4" xfId="25279"/>
    <cellStyle name="40% - Accent4 4 2 4 3 3" xfId="9910"/>
    <cellStyle name="40% - Accent4 4 2 4 3 4" xfId="16075"/>
    <cellStyle name="40% - Accent4 4 2 4 3 5" xfId="22203"/>
    <cellStyle name="40% - Accent4 4 2 4 4" xfId="5480"/>
    <cellStyle name="40% - Accent4 4 2 4 4 2" xfId="11722"/>
    <cellStyle name="40% - Accent4 4 2 4 4 3" xfId="17877"/>
    <cellStyle name="40% - Accent4 4 2 4 4 4" xfId="24004"/>
    <cellStyle name="40% - Accent4 4 2 4 5" xfId="8634"/>
    <cellStyle name="40% - Accent4 4 2 4 6" xfId="14595"/>
    <cellStyle name="40% - Accent4 4 2 4 7" xfId="20814"/>
    <cellStyle name="40% - Accent4 4 2 5" xfId="804"/>
    <cellStyle name="40% - Accent4 4 2 5 2" xfId="3628"/>
    <cellStyle name="40% - Accent4 4 2 5 2 2" xfId="6758"/>
    <cellStyle name="40% - Accent4 4 2 5 2 2 2" xfId="13000"/>
    <cellStyle name="40% - Accent4 4 2 5 2 2 3" xfId="19155"/>
    <cellStyle name="40% - Accent4 4 2 5 2 2 4" xfId="25282"/>
    <cellStyle name="40% - Accent4 4 2 5 2 3" xfId="9913"/>
    <cellStyle name="40% - Accent4 4 2 5 2 4" xfId="16078"/>
    <cellStyle name="40% - Accent4 4 2 5 2 5" xfId="22206"/>
    <cellStyle name="40% - Accent4 4 2 5 3" xfId="3627"/>
    <cellStyle name="40% - Accent4 4 2 5 3 2" xfId="6757"/>
    <cellStyle name="40% - Accent4 4 2 5 3 2 2" xfId="12999"/>
    <cellStyle name="40% - Accent4 4 2 5 3 2 3" xfId="19154"/>
    <cellStyle name="40% - Accent4 4 2 5 3 2 4" xfId="25281"/>
    <cellStyle name="40% - Accent4 4 2 5 3 3" xfId="9912"/>
    <cellStyle name="40% - Accent4 4 2 5 3 4" xfId="16077"/>
    <cellStyle name="40% - Accent4 4 2 5 3 5" xfId="22205"/>
    <cellStyle name="40% - Accent4 4 2 5 4" xfId="5153"/>
    <cellStyle name="40% - Accent4 4 2 5 4 2" xfId="11396"/>
    <cellStyle name="40% - Accent4 4 2 5 4 3" xfId="17551"/>
    <cellStyle name="40% - Accent4 4 2 5 4 4" xfId="23678"/>
    <cellStyle name="40% - Accent4 4 2 5 5" xfId="8310"/>
    <cellStyle name="40% - Accent4 4 2 5 6" xfId="14596"/>
    <cellStyle name="40% - Accent4 4 2 5 7" xfId="20493"/>
    <cellStyle name="40% - Accent4 4 2 6" xfId="251"/>
    <cellStyle name="40% - Accent4 4 2 6 2" xfId="3630"/>
    <cellStyle name="40% - Accent4 4 2 6 2 2" xfId="6760"/>
    <cellStyle name="40% - Accent4 4 2 6 2 2 2" xfId="13002"/>
    <cellStyle name="40% - Accent4 4 2 6 2 2 3" xfId="19157"/>
    <cellStyle name="40% - Accent4 4 2 6 2 2 4" xfId="25284"/>
    <cellStyle name="40% - Accent4 4 2 6 2 3" xfId="9915"/>
    <cellStyle name="40% - Accent4 4 2 6 2 4" xfId="16080"/>
    <cellStyle name="40% - Accent4 4 2 6 2 5" xfId="22208"/>
    <cellStyle name="40% - Accent4 4 2 6 3" xfId="3629"/>
    <cellStyle name="40% - Accent4 4 2 6 3 2" xfId="6759"/>
    <cellStyle name="40% - Accent4 4 2 6 3 2 2" xfId="13001"/>
    <cellStyle name="40% - Accent4 4 2 6 3 2 3" xfId="19156"/>
    <cellStyle name="40% - Accent4 4 2 6 3 2 4" xfId="25283"/>
    <cellStyle name="40% - Accent4 4 2 6 3 3" xfId="9914"/>
    <cellStyle name="40% - Accent4 4 2 6 3 4" xfId="16079"/>
    <cellStyle name="40% - Accent4 4 2 6 3 5" xfId="22207"/>
    <cellStyle name="40% - Accent4 4 2 6 4" xfId="5031"/>
    <cellStyle name="40% - Accent4 4 2 6 4 2" xfId="11274"/>
    <cellStyle name="40% - Accent4 4 2 6 4 3" xfId="17429"/>
    <cellStyle name="40% - Accent4 4 2 6 4 4" xfId="23556"/>
    <cellStyle name="40% - Accent4 4 2 6 5" xfId="8189"/>
    <cellStyle name="40% - Accent4 4 2 6 6" xfId="14597"/>
    <cellStyle name="40% - Accent4 4 2 6 7" xfId="21185"/>
    <cellStyle name="40% - Accent4 4 2 7" xfId="3631"/>
    <cellStyle name="40% - Accent4 4 2 7 2" xfId="6761"/>
    <cellStyle name="40% - Accent4 4 2 7 2 2" xfId="13003"/>
    <cellStyle name="40% - Accent4 4 2 7 2 3" xfId="19158"/>
    <cellStyle name="40% - Accent4 4 2 7 2 4" xfId="25285"/>
    <cellStyle name="40% - Accent4 4 2 7 3" xfId="9916"/>
    <cellStyle name="40% - Accent4 4 2 7 4" xfId="16081"/>
    <cellStyle name="40% - Accent4 4 2 7 5" xfId="22209"/>
    <cellStyle name="40% - Accent4 4 2 8" xfId="3632"/>
    <cellStyle name="40% - Accent4 4 2 8 2" xfId="6762"/>
    <cellStyle name="40% - Accent4 4 2 8 2 2" xfId="13004"/>
    <cellStyle name="40% - Accent4 4 2 8 2 3" xfId="19159"/>
    <cellStyle name="40% - Accent4 4 2 8 2 4" xfId="25286"/>
    <cellStyle name="40% - Accent4 4 2 8 3" xfId="9917"/>
    <cellStyle name="40% - Accent4 4 2 8 4" xfId="16082"/>
    <cellStyle name="40% - Accent4 4 2 8 5" xfId="22210"/>
    <cellStyle name="40% - Accent4 4 2 9" xfId="3615"/>
    <cellStyle name="40% - Accent4 4 2 9 2" xfId="6745"/>
    <cellStyle name="40% - Accent4 4 2 9 2 2" xfId="12987"/>
    <cellStyle name="40% - Accent4 4 2 9 2 3" xfId="19142"/>
    <cellStyle name="40% - Accent4 4 2 9 2 4" xfId="25269"/>
    <cellStyle name="40% - Accent4 4 2 9 3" xfId="9900"/>
    <cellStyle name="40% - Accent4 4 2 9 4" xfId="16065"/>
    <cellStyle name="40% - Accent4 4 2 9 5" xfId="22193"/>
    <cellStyle name="40% - Accent4 5" xfId="474"/>
    <cellStyle name="40% - Accent4 5 2" xfId="3634"/>
    <cellStyle name="40% - Accent4 5 2 2" xfId="6764"/>
    <cellStyle name="40% - Accent4 5 2 2 2" xfId="13006"/>
    <cellStyle name="40% - Accent4 5 2 2 3" xfId="19161"/>
    <cellStyle name="40% - Accent4 5 2 2 4" xfId="25288"/>
    <cellStyle name="40% - Accent4 5 2 3" xfId="9919"/>
    <cellStyle name="40% - Accent4 5 2 4" xfId="16084"/>
    <cellStyle name="40% - Accent4 5 2 5" xfId="22212"/>
    <cellStyle name="40% - Accent4 5 3" xfId="3635"/>
    <cellStyle name="40% - Accent4 5 3 2" xfId="6765"/>
    <cellStyle name="40% - Accent4 5 3 2 2" xfId="13007"/>
    <cellStyle name="40% - Accent4 5 3 2 3" xfId="19162"/>
    <cellStyle name="40% - Accent4 5 3 2 4" xfId="25289"/>
    <cellStyle name="40% - Accent4 5 3 3" xfId="9920"/>
    <cellStyle name="40% - Accent4 5 3 4" xfId="16085"/>
    <cellStyle name="40% - Accent4 5 3 5" xfId="22213"/>
    <cellStyle name="40% - Accent4 5 4" xfId="3633"/>
    <cellStyle name="40% - Accent4 5 4 2" xfId="6763"/>
    <cellStyle name="40% - Accent4 5 4 2 2" xfId="13005"/>
    <cellStyle name="40% - Accent4 5 4 2 3" xfId="19160"/>
    <cellStyle name="40% - Accent4 5 4 2 4" xfId="25287"/>
    <cellStyle name="40% - Accent4 5 4 3" xfId="9918"/>
    <cellStyle name="40% - Accent4 5 4 4" xfId="16083"/>
    <cellStyle name="40% - Accent4 5 4 5" xfId="22211"/>
    <cellStyle name="40% - Accent4 5 5" xfId="5092"/>
    <cellStyle name="40% - Accent4 5 5 2" xfId="11335"/>
    <cellStyle name="40% - Accent4 5 5 3" xfId="17490"/>
    <cellStyle name="40% - Accent4 5 5 4" xfId="23617"/>
    <cellStyle name="40% - Accent4 5 6" xfId="8251"/>
    <cellStyle name="40% - Accent4 5 7" xfId="14598"/>
    <cellStyle name="40% - Accent4 5 8" xfId="20437"/>
    <cellStyle name="40% - Accent4 6" xfId="197"/>
    <cellStyle name="40% - Accent4 6 2" xfId="3637"/>
    <cellStyle name="40% - Accent4 6 2 2" xfId="6767"/>
    <cellStyle name="40% - Accent4 6 2 2 2" xfId="13009"/>
    <cellStyle name="40% - Accent4 6 2 2 3" xfId="19164"/>
    <cellStyle name="40% - Accent4 6 2 2 4" xfId="25291"/>
    <cellStyle name="40% - Accent4 6 2 3" xfId="9922"/>
    <cellStyle name="40% - Accent4 6 2 4" xfId="16087"/>
    <cellStyle name="40% - Accent4 6 2 5" xfId="22215"/>
    <cellStyle name="40% - Accent4 6 3" xfId="3636"/>
    <cellStyle name="40% - Accent4 6 3 2" xfId="6766"/>
    <cellStyle name="40% - Accent4 6 3 2 2" xfId="13008"/>
    <cellStyle name="40% - Accent4 6 3 2 3" xfId="19163"/>
    <cellStyle name="40% - Accent4 6 3 2 4" xfId="25290"/>
    <cellStyle name="40% - Accent4 6 3 3" xfId="9921"/>
    <cellStyle name="40% - Accent4 6 3 4" xfId="16086"/>
    <cellStyle name="40% - Accent4 6 3 5" xfId="22214"/>
    <cellStyle name="40% - Accent4 6 4" xfId="4978"/>
    <cellStyle name="40% - Accent4 6 4 2" xfId="11221"/>
    <cellStyle name="40% - Accent4 6 4 3" xfId="17376"/>
    <cellStyle name="40% - Accent4 6 4 4" xfId="23503"/>
    <cellStyle name="40% - Accent4 6 5" xfId="8136"/>
    <cellStyle name="40% - Accent4 6 6" xfId="15101"/>
    <cellStyle name="40% - Accent4 6 7" xfId="21229"/>
    <cellStyle name="40% - Accent4 7" xfId="3638"/>
    <cellStyle name="40% - Accent4 7 2" xfId="6768"/>
    <cellStyle name="40% - Accent4 7 2 2" xfId="13010"/>
    <cellStyle name="40% - Accent4 7 2 3" xfId="19165"/>
    <cellStyle name="40% - Accent4 7 2 4" xfId="25292"/>
    <cellStyle name="40% - Accent4 7 3" xfId="9923"/>
    <cellStyle name="40% - Accent4 7 4" xfId="16088"/>
    <cellStyle name="40% - Accent4 7 5" xfId="22216"/>
    <cellStyle name="40% - Accent4 8" xfId="4857"/>
    <cellStyle name="40% - Accent4 8 2" xfId="7902"/>
    <cellStyle name="40% - Accent4 8 2 2" xfId="14144"/>
    <cellStyle name="40% - Accent4 8 2 3" xfId="20299"/>
    <cellStyle name="40% - Accent4 8 2 4" xfId="26426"/>
    <cellStyle name="40% - Accent4 8 3" xfId="11113"/>
    <cellStyle name="40% - Accent4 8 4" xfId="17268"/>
    <cellStyle name="40% - Accent4 8 5" xfId="23395"/>
    <cellStyle name="40% - Accent4 9" xfId="4883"/>
    <cellStyle name="40% - Accent4 9 2" xfId="11129"/>
    <cellStyle name="40% - Accent4 9 3" xfId="17284"/>
    <cellStyle name="40% - Accent4 9 4" xfId="23411"/>
    <cellStyle name="40% - Accent5 10" xfId="15074"/>
    <cellStyle name="40% - Accent5 11" xfId="20325"/>
    <cellStyle name="40% - Accent5 2" xfId="92"/>
    <cellStyle name="40% - Accent5 2 10" xfId="3639"/>
    <cellStyle name="40% - Accent5 2 10 2" xfId="6769"/>
    <cellStyle name="40% - Accent5 2 10 2 2" xfId="13011"/>
    <cellStyle name="40% - Accent5 2 10 2 3" xfId="19166"/>
    <cellStyle name="40% - Accent5 2 10 2 4" xfId="25293"/>
    <cellStyle name="40% - Accent5 2 10 3" xfId="9924"/>
    <cellStyle name="40% - Accent5 2 10 4" xfId="16089"/>
    <cellStyle name="40% - Accent5 2 10 5" xfId="22217"/>
    <cellStyle name="40% - Accent5 2 11" xfId="4940"/>
    <cellStyle name="40% - Accent5 2 11 2" xfId="11184"/>
    <cellStyle name="40% - Accent5 2 11 3" xfId="17339"/>
    <cellStyle name="40% - Accent5 2 11 4" xfId="23466"/>
    <cellStyle name="40% - Accent5 2 12" xfId="8098"/>
    <cellStyle name="40% - Accent5 2 13" xfId="14599"/>
    <cellStyle name="40% - Accent5 2 14" xfId="20378"/>
    <cellStyle name="40% - Accent5 2 2" xfId="93"/>
    <cellStyle name="40% - Accent5 2 2 10" xfId="4941"/>
    <cellStyle name="40% - Accent5 2 2 10 2" xfId="11185"/>
    <cellStyle name="40% - Accent5 2 2 10 3" xfId="17340"/>
    <cellStyle name="40% - Accent5 2 2 10 4" xfId="23467"/>
    <cellStyle name="40% - Accent5 2 2 11" xfId="8099"/>
    <cellStyle name="40% - Accent5 2 2 12" xfId="14600"/>
    <cellStyle name="40% - Accent5 2 2 13" xfId="20379"/>
    <cellStyle name="40% - Accent5 2 2 2" xfId="2034"/>
    <cellStyle name="40% - Accent5 2 2 2 10" xfId="20710"/>
    <cellStyle name="40% - Accent5 2 2 2 2" xfId="2419"/>
    <cellStyle name="40% - Accent5 2 2 2 2 2" xfId="3643"/>
    <cellStyle name="40% - Accent5 2 2 2 2 2 2" xfId="6773"/>
    <cellStyle name="40% - Accent5 2 2 2 2 2 2 2" xfId="13015"/>
    <cellStyle name="40% - Accent5 2 2 2 2 2 2 3" xfId="19170"/>
    <cellStyle name="40% - Accent5 2 2 2 2 2 2 4" xfId="25297"/>
    <cellStyle name="40% - Accent5 2 2 2 2 2 3" xfId="9928"/>
    <cellStyle name="40% - Accent5 2 2 2 2 2 4" xfId="16093"/>
    <cellStyle name="40% - Accent5 2 2 2 2 2 5" xfId="22221"/>
    <cellStyle name="40% - Accent5 2 2 2 2 3" xfId="3642"/>
    <cellStyle name="40% - Accent5 2 2 2 2 3 2" xfId="6772"/>
    <cellStyle name="40% - Accent5 2 2 2 2 3 2 2" xfId="13014"/>
    <cellStyle name="40% - Accent5 2 2 2 2 3 2 3" xfId="19169"/>
    <cellStyle name="40% - Accent5 2 2 2 2 3 2 4" xfId="25296"/>
    <cellStyle name="40% - Accent5 2 2 2 2 3 3" xfId="9927"/>
    <cellStyle name="40% - Accent5 2 2 2 2 3 4" xfId="16092"/>
    <cellStyle name="40% - Accent5 2 2 2 2 3 5" xfId="22220"/>
    <cellStyle name="40% - Accent5 2 2 2 2 4" xfId="5732"/>
    <cellStyle name="40% - Accent5 2 2 2 2 4 2" xfId="11974"/>
    <cellStyle name="40% - Accent5 2 2 2 2 4 3" xfId="18129"/>
    <cellStyle name="40% - Accent5 2 2 2 2 4 4" xfId="24256"/>
    <cellStyle name="40% - Accent5 2 2 2 2 5" xfId="8886"/>
    <cellStyle name="40% - Accent5 2 2 2 2 6" xfId="14602"/>
    <cellStyle name="40% - Accent5 2 2 2 2 7" xfId="21066"/>
    <cellStyle name="40% - Accent5 2 2 2 3" xfId="2244"/>
    <cellStyle name="40% - Accent5 2 2 2 3 2" xfId="3645"/>
    <cellStyle name="40% - Accent5 2 2 2 3 2 2" xfId="6775"/>
    <cellStyle name="40% - Accent5 2 2 2 3 2 2 2" xfId="13017"/>
    <cellStyle name="40% - Accent5 2 2 2 3 2 2 3" xfId="19172"/>
    <cellStyle name="40% - Accent5 2 2 2 3 2 2 4" xfId="25299"/>
    <cellStyle name="40% - Accent5 2 2 2 3 2 3" xfId="9930"/>
    <cellStyle name="40% - Accent5 2 2 2 3 2 4" xfId="16095"/>
    <cellStyle name="40% - Accent5 2 2 2 3 2 5" xfId="22223"/>
    <cellStyle name="40% - Accent5 2 2 2 3 3" xfId="3644"/>
    <cellStyle name="40% - Accent5 2 2 2 3 3 2" xfId="6774"/>
    <cellStyle name="40% - Accent5 2 2 2 3 3 2 2" xfId="13016"/>
    <cellStyle name="40% - Accent5 2 2 2 3 3 2 3" xfId="19171"/>
    <cellStyle name="40% - Accent5 2 2 2 3 3 2 4" xfId="25298"/>
    <cellStyle name="40% - Accent5 2 2 2 3 3 3" xfId="9929"/>
    <cellStyle name="40% - Accent5 2 2 2 3 3 4" xfId="16094"/>
    <cellStyle name="40% - Accent5 2 2 2 3 3 5" xfId="22222"/>
    <cellStyle name="40% - Accent5 2 2 2 3 4" xfId="5557"/>
    <cellStyle name="40% - Accent5 2 2 2 3 4 2" xfId="11799"/>
    <cellStyle name="40% - Accent5 2 2 2 3 4 3" xfId="17954"/>
    <cellStyle name="40% - Accent5 2 2 2 3 4 4" xfId="24081"/>
    <cellStyle name="40% - Accent5 2 2 2 3 5" xfId="8711"/>
    <cellStyle name="40% - Accent5 2 2 2 3 6" xfId="14603"/>
    <cellStyle name="40% - Accent5 2 2 2 3 7" xfId="20891"/>
    <cellStyle name="40% - Accent5 2 2 2 4" xfId="3646"/>
    <cellStyle name="40% - Accent5 2 2 2 4 2" xfId="6776"/>
    <cellStyle name="40% - Accent5 2 2 2 4 2 2" xfId="13018"/>
    <cellStyle name="40% - Accent5 2 2 2 4 2 3" xfId="19173"/>
    <cellStyle name="40% - Accent5 2 2 2 4 2 4" xfId="25300"/>
    <cellStyle name="40% - Accent5 2 2 2 4 3" xfId="9931"/>
    <cellStyle name="40% - Accent5 2 2 2 4 4" xfId="16096"/>
    <cellStyle name="40% - Accent5 2 2 2 4 5" xfId="22224"/>
    <cellStyle name="40% - Accent5 2 2 2 5" xfId="3647"/>
    <cellStyle name="40% - Accent5 2 2 2 5 2" xfId="6777"/>
    <cellStyle name="40% - Accent5 2 2 2 5 2 2" xfId="13019"/>
    <cellStyle name="40% - Accent5 2 2 2 5 2 3" xfId="19174"/>
    <cellStyle name="40% - Accent5 2 2 2 5 2 4" xfId="25301"/>
    <cellStyle name="40% - Accent5 2 2 2 5 3" xfId="9932"/>
    <cellStyle name="40% - Accent5 2 2 2 5 4" xfId="16097"/>
    <cellStyle name="40% - Accent5 2 2 2 5 5" xfId="22225"/>
    <cellStyle name="40% - Accent5 2 2 2 6" xfId="3641"/>
    <cellStyle name="40% - Accent5 2 2 2 6 2" xfId="6771"/>
    <cellStyle name="40% - Accent5 2 2 2 6 2 2" xfId="13013"/>
    <cellStyle name="40% - Accent5 2 2 2 6 2 3" xfId="19168"/>
    <cellStyle name="40% - Accent5 2 2 2 6 2 4" xfId="25295"/>
    <cellStyle name="40% - Accent5 2 2 2 6 3" xfId="9926"/>
    <cellStyle name="40% - Accent5 2 2 2 6 4" xfId="16091"/>
    <cellStyle name="40% - Accent5 2 2 2 6 5" xfId="22219"/>
    <cellStyle name="40% - Accent5 2 2 2 7" xfId="5375"/>
    <cellStyle name="40% - Accent5 2 2 2 7 2" xfId="11617"/>
    <cellStyle name="40% - Accent5 2 2 2 7 3" xfId="17772"/>
    <cellStyle name="40% - Accent5 2 2 2 7 4" xfId="23899"/>
    <cellStyle name="40% - Accent5 2 2 2 8" xfId="8530"/>
    <cellStyle name="40% - Accent5 2 2 2 9" xfId="14601"/>
    <cellStyle name="40% - Accent5 2 2 3" xfId="2336"/>
    <cellStyle name="40% - Accent5 2 2 3 2" xfId="3649"/>
    <cellStyle name="40% - Accent5 2 2 3 2 2" xfId="6779"/>
    <cellStyle name="40% - Accent5 2 2 3 2 2 2" xfId="13021"/>
    <cellStyle name="40% - Accent5 2 2 3 2 2 3" xfId="19176"/>
    <cellStyle name="40% - Accent5 2 2 3 2 2 4" xfId="25303"/>
    <cellStyle name="40% - Accent5 2 2 3 2 3" xfId="9934"/>
    <cellStyle name="40% - Accent5 2 2 3 2 4" xfId="16099"/>
    <cellStyle name="40% - Accent5 2 2 3 2 5" xfId="22227"/>
    <cellStyle name="40% - Accent5 2 2 3 3" xfId="3648"/>
    <cellStyle name="40% - Accent5 2 2 3 3 2" xfId="6778"/>
    <cellStyle name="40% - Accent5 2 2 3 3 2 2" xfId="13020"/>
    <cellStyle name="40% - Accent5 2 2 3 3 2 3" xfId="19175"/>
    <cellStyle name="40% - Accent5 2 2 3 3 2 4" xfId="25302"/>
    <cellStyle name="40% - Accent5 2 2 3 3 3" xfId="9933"/>
    <cellStyle name="40% - Accent5 2 2 3 3 4" xfId="16098"/>
    <cellStyle name="40% - Accent5 2 2 3 3 5" xfId="22226"/>
    <cellStyle name="40% - Accent5 2 2 3 4" xfId="5649"/>
    <cellStyle name="40% - Accent5 2 2 3 4 2" xfId="11891"/>
    <cellStyle name="40% - Accent5 2 2 3 4 3" xfId="18046"/>
    <cellStyle name="40% - Accent5 2 2 3 4 4" xfId="24173"/>
    <cellStyle name="40% - Accent5 2 2 3 5" xfId="8803"/>
    <cellStyle name="40% - Accent5 2 2 3 6" xfId="14604"/>
    <cellStyle name="40% - Accent5 2 2 3 7" xfId="20983"/>
    <cellStyle name="40% - Accent5 2 2 4" xfId="2169"/>
    <cellStyle name="40% - Accent5 2 2 4 2" xfId="3651"/>
    <cellStyle name="40% - Accent5 2 2 4 2 2" xfId="6781"/>
    <cellStyle name="40% - Accent5 2 2 4 2 2 2" xfId="13023"/>
    <cellStyle name="40% - Accent5 2 2 4 2 2 3" xfId="19178"/>
    <cellStyle name="40% - Accent5 2 2 4 2 2 4" xfId="25305"/>
    <cellStyle name="40% - Accent5 2 2 4 2 3" xfId="9936"/>
    <cellStyle name="40% - Accent5 2 2 4 2 4" xfId="16101"/>
    <cellStyle name="40% - Accent5 2 2 4 2 5" xfId="22229"/>
    <cellStyle name="40% - Accent5 2 2 4 3" xfId="3650"/>
    <cellStyle name="40% - Accent5 2 2 4 3 2" xfId="6780"/>
    <cellStyle name="40% - Accent5 2 2 4 3 2 2" xfId="13022"/>
    <cellStyle name="40% - Accent5 2 2 4 3 2 3" xfId="19177"/>
    <cellStyle name="40% - Accent5 2 2 4 3 2 4" xfId="25304"/>
    <cellStyle name="40% - Accent5 2 2 4 3 3" xfId="9935"/>
    <cellStyle name="40% - Accent5 2 2 4 3 4" xfId="16100"/>
    <cellStyle name="40% - Accent5 2 2 4 3 5" xfId="22228"/>
    <cellStyle name="40% - Accent5 2 2 4 4" xfId="5482"/>
    <cellStyle name="40% - Accent5 2 2 4 4 2" xfId="11724"/>
    <cellStyle name="40% - Accent5 2 2 4 4 3" xfId="17879"/>
    <cellStyle name="40% - Accent5 2 2 4 4 4" xfId="24006"/>
    <cellStyle name="40% - Accent5 2 2 4 5" xfId="8636"/>
    <cellStyle name="40% - Accent5 2 2 4 6" xfId="14605"/>
    <cellStyle name="40% - Accent5 2 2 4 7" xfId="20816"/>
    <cellStyle name="40% - Accent5 2 2 5" xfId="806"/>
    <cellStyle name="40% - Accent5 2 2 5 2" xfId="3653"/>
    <cellStyle name="40% - Accent5 2 2 5 2 2" xfId="6783"/>
    <cellStyle name="40% - Accent5 2 2 5 2 2 2" xfId="13025"/>
    <cellStyle name="40% - Accent5 2 2 5 2 2 3" xfId="19180"/>
    <cellStyle name="40% - Accent5 2 2 5 2 2 4" xfId="25307"/>
    <cellStyle name="40% - Accent5 2 2 5 2 3" xfId="9938"/>
    <cellStyle name="40% - Accent5 2 2 5 2 4" xfId="16103"/>
    <cellStyle name="40% - Accent5 2 2 5 2 5" xfId="22231"/>
    <cellStyle name="40% - Accent5 2 2 5 3" xfId="3652"/>
    <cellStyle name="40% - Accent5 2 2 5 3 2" xfId="6782"/>
    <cellStyle name="40% - Accent5 2 2 5 3 2 2" xfId="13024"/>
    <cellStyle name="40% - Accent5 2 2 5 3 2 3" xfId="19179"/>
    <cellStyle name="40% - Accent5 2 2 5 3 2 4" xfId="25306"/>
    <cellStyle name="40% - Accent5 2 2 5 3 3" xfId="9937"/>
    <cellStyle name="40% - Accent5 2 2 5 3 4" xfId="16102"/>
    <cellStyle name="40% - Accent5 2 2 5 3 5" xfId="22230"/>
    <cellStyle name="40% - Accent5 2 2 5 4" xfId="5155"/>
    <cellStyle name="40% - Accent5 2 2 5 4 2" xfId="11398"/>
    <cellStyle name="40% - Accent5 2 2 5 4 3" xfId="17553"/>
    <cellStyle name="40% - Accent5 2 2 5 4 4" xfId="23680"/>
    <cellStyle name="40% - Accent5 2 2 5 5" xfId="8312"/>
    <cellStyle name="40% - Accent5 2 2 5 6" xfId="14606"/>
    <cellStyle name="40% - Accent5 2 2 5 7" xfId="20495"/>
    <cellStyle name="40% - Accent5 2 2 6" xfId="253"/>
    <cellStyle name="40% - Accent5 2 2 6 2" xfId="3655"/>
    <cellStyle name="40% - Accent5 2 2 6 2 2" xfId="6785"/>
    <cellStyle name="40% - Accent5 2 2 6 2 2 2" xfId="13027"/>
    <cellStyle name="40% - Accent5 2 2 6 2 2 3" xfId="19182"/>
    <cellStyle name="40% - Accent5 2 2 6 2 2 4" xfId="25309"/>
    <cellStyle name="40% - Accent5 2 2 6 2 3" xfId="9940"/>
    <cellStyle name="40% - Accent5 2 2 6 2 4" xfId="16105"/>
    <cellStyle name="40% - Accent5 2 2 6 2 5" xfId="22233"/>
    <cellStyle name="40% - Accent5 2 2 6 3" xfId="3654"/>
    <cellStyle name="40% - Accent5 2 2 6 3 2" xfId="6784"/>
    <cellStyle name="40% - Accent5 2 2 6 3 2 2" xfId="13026"/>
    <cellStyle name="40% - Accent5 2 2 6 3 2 3" xfId="19181"/>
    <cellStyle name="40% - Accent5 2 2 6 3 2 4" xfId="25308"/>
    <cellStyle name="40% - Accent5 2 2 6 3 3" xfId="9939"/>
    <cellStyle name="40% - Accent5 2 2 6 3 4" xfId="16104"/>
    <cellStyle name="40% - Accent5 2 2 6 3 5" xfId="22232"/>
    <cellStyle name="40% - Accent5 2 2 6 4" xfId="5033"/>
    <cellStyle name="40% - Accent5 2 2 6 4 2" xfId="11276"/>
    <cellStyle name="40% - Accent5 2 2 6 4 3" xfId="17431"/>
    <cellStyle name="40% - Accent5 2 2 6 4 4" xfId="23558"/>
    <cellStyle name="40% - Accent5 2 2 6 5" xfId="8191"/>
    <cellStyle name="40% - Accent5 2 2 6 6" xfId="14607"/>
    <cellStyle name="40% - Accent5 2 2 6 7" xfId="21187"/>
    <cellStyle name="40% - Accent5 2 2 7" xfId="3656"/>
    <cellStyle name="40% - Accent5 2 2 7 2" xfId="6786"/>
    <cellStyle name="40% - Accent5 2 2 7 2 2" xfId="13028"/>
    <cellStyle name="40% - Accent5 2 2 7 2 3" xfId="19183"/>
    <cellStyle name="40% - Accent5 2 2 7 2 4" xfId="25310"/>
    <cellStyle name="40% - Accent5 2 2 7 3" xfId="9941"/>
    <cellStyle name="40% - Accent5 2 2 7 4" xfId="16106"/>
    <cellStyle name="40% - Accent5 2 2 7 5" xfId="22234"/>
    <cellStyle name="40% - Accent5 2 2 8" xfId="3657"/>
    <cellStyle name="40% - Accent5 2 2 8 2" xfId="6787"/>
    <cellStyle name="40% - Accent5 2 2 8 2 2" xfId="13029"/>
    <cellStyle name="40% - Accent5 2 2 8 2 3" xfId="19184"/>
    <cellStyle name="40% - Accent5 2 2 8 2 4" xfId="25311"/>
    <cellStyle name="40% - Accent5 2 2 8 3" xfId="9942"/>
    <cellStyle name="40% - Accent5 2 2 8 4" xfId="16107"/>
    <cellStyle name="40% - Accent5 2 2 8 5" xfId="22235"/>
    <cellStyle name="40% - Accent5 2 2 9" xfId="3640"/>
    <cellStyle name="40% - Accent5 2 2 9 2" xfId="6770"/>
    <cellStyle name="40% - Accent5 2 2 9 2 2" xfId="13012"/>
    <cellStyle name="40% - Accent5 2 2 9 2 3" xfId="19167"/>
    <cellStyle name="40% - Accent5 2 2 9 2 4" xfId="25294"/>
    <cellStyle name="40% - Accent5 2 2 9 3" xfId="9925"/>
    <cellStyle name="40% - Accent5 2 2 9 4" xfId="16090"/>
    <cellStyle name="40% - Accent5 2 2 9 5" xfId="22218"/>
    <cellStyle name="40% - Accent5 2 3" xfId="1034"/>
    <cellStyle name="40% - Accent5 2 3 2" xfId="2418"/>
    <cellStyle name="40% - Accent5 2 3 2 2" xfId="3659"/>
    <cellStyle name="40% - Accent5 2 3 2 2 2" xfId="6789"/>
    <cellStyle name="40% - Accent5 2 3 2 2 2 2" xfId="13031"/>
    <cellStyle name="40% - Accent5 2 3 2 2 2 3" xfId="19186"/>
    <cellStyle name="40% - Accent5 2 3 2 2 2 4" xfId="25313"/>
    <cellStyle name="40% - Accent5 2 3 2 2 3" xfId="9944"/>
    <cellStyle name="40% - Accent5 2 3 2 2 4" xfId="16109"/>
    <cellStyle name="40% - Accent5 2 3 2 2 5" xfId="22237"/>
    <cellStyle name="40% - Accent5 2 3 2 3" xfId="3658"/>
    <cellStyle name="40% - Accent5 2 3 2 3 2" xfId="6788"/>
    <cellStyle name="40% - Accent5 2 3 2 3 2 2" xfId="13030"/>
    <cellStyle name="40% - Accent5 2 3 2 3 2 3" xfId="19185"/>
    <cellStyle name="40% - Accent5 2 3 2 3 2 4" xfId="25312"/>
    <cellStyle name="40% - Accent5 2 3 2 3 3" xfId="9943"/>
    <cellStyle name="40% - Accent5 2 3 2 3 4" xfId="16108"/>
    <cellStyle name="40% - Accent5 2 3 2 3 5" xfId="22236"/>
    <cellStyle name="40% - Accent5 2 3 2 4" xfId="5731"/>
    <cellStyle name="40% - Accent5 2 3 2 4 2" xfId="11973"/>
    <cellStyle name="40% - Accent5 2 3 2 4 3" xfId="18128"/>
    <cellStyle name="40% - Accent5 2 3 2 4 4" xfId="24255"/>
    <cellStyle name="40% - Accent5 2 3 2 5" xfId="8885"/>
    <cellStyle name="40% - Accent5 2 3 2 6" xfId="14608"/>
    <cellStyle name="40% - Accent5 2 3 2 7" xfId="21065"/>
    <cellStyle name="40% - Accent5 2 3 3" xfId="2243"/>
    <cellStyle name="40% - Accent5 2 3 3 2" xfId="3661"/>
    <cellStyle name="40% - Accent5 2 3 3 2 2" xfId="6791"/>
    <cellStyle name="40% - Accent5 2 3 3 2 2 2" xfId="13033"/>
    <cellStyle name="40% - Accent5 2 3 3 2 2 3" xfId="19188"/>
    <cellStyle name="40% - Accent5 2 3 3 2 2 4" xfId="25315"/>
    <cellStyle name="40% - Accent5 2 3 3 2 3" xfId="9946"/>
    <cellStyle name="40% - Accent5 2 3 3 2 4" xfId="16111"/>
    <cellStyle name="40% - Accent5 2 3 3 2 5" xfId="22239"/>
    <cellStyle name="40% - Accent5 2 3 3 3" xfId="3660"/>
    <cellStyle name="40% - Accent5 2 3 3 3 2" xfId="6790"/>
    <cellStyle name="40% - Accent5 2 3 3 3 2 2" xfId="13032"/>
    <cellStyle name="40% - Accent5 2 3 3 3 2 3" xfId="19187"/>
    <cellStyle name="40% - Accent5 2 3 3 3 2 4" xfId="25314"/>
    <cellStyle name="40% - Accent5 2 3 3 3 3" xfId="9945"/>
    <cellStyle name="40% - Accent5 2 3 3 3 4" xfId="16110"/>
    <cellStyle name="40% - Accent5 2 3 3 3 5" xfId="22238"/>
    <cellStyle name="40% - Accent5 2 3 3 4" xfId="5556"/>
    <cellStyle name="40% - Accent5 2 3 3 4 2" xfId="11798"/>
    <cellStyle name="40% - Accent5 2 3 3 4 3" xfId="17953"/>
    <cellStyle name="40% - Accent5 2 3 3 4 4" xfId="24080"/>
    <cellStyle name="40% - Accent5 2 3 3 5" xfId="8710"/>
    <cellStyle name="40% - Accent5 2 3 3 6" xfId="14609"/>
    <cellStyle name="40% - Accent5 2 3 3 7" xfId="20890"/>
    <cellStyle name="40% - Accent5 2 3 4" xfId="2033"/>
    <cellStyle name="40% - Accent5 2 3 4 2" xfId="3663"/>
    <cellStyle name="40% - Accent5 2 3 4 2 2" xfId="6793"/>
    <cellStyle name="40% - Accent5 2 3 4 2 2 2" xfId="13035"/>
    <cellStyle name="40% - Accent5 2 3 4 2 2 3" xfId="19190"/>
    <cellStyle name="40% - Accent5 2 3 4 2 2 4" xfId="25317"/>
    <cellStyle name="40% - Accent5 2 3 4 2 3" xfId="9948"/>
    <cellStyle name="40% - Accent5 2 3 4 2 4" xfId="16113"/>
    <cellStyle name="40% - Accent5 2 3 4 2 5" xfId="22241"/>
    <cellStyle name="40% - Accent5 2 3 4 3" xfId="3662"/>
    <cellStyle name="40% - Accent5 2 3 4 3 2" xfId="6792"/>
    <cellStyle name="40% - Accent5 2 3 4 3 2 2" xfId="13034"/>
    <cellStyle name="40% - Accent5 2 3 4 3 2 3" xfId="19189"/>
    <cellStyle name="40% - Accent5 2 3 4 3 2 4" xfId="25316"/>
    <cellStyle name="40% - Accent5 2 3 4 3 3" xfId="9947"/>
    <cellStyle name="40% - Accent5 2 3 4 3 4" xfId="16112"/>
    <cellStyle name="40% - Accent5 2 3 4 3 5" xfId="22240"/>
    <cellStyle name="40% - Accent5 2 3 4 4" xfId="5374"/>
    <cellStyle name="40% - Accent5 2 3 4 4 2" xfId="11616"/>
    <cellStyle name="40% - Accent5 2 3 4 4 3" xfId="17771"/>
    <cellStyle name="40% - Accent5 2 3 4 4 4" xfId="23898"/>
    <cellStyle name="40% - Accent5 2 3 4 5" xfId="8529"/>
    <cellStyle name="40% - Accent5 2 3 4 6" xfId="14610"/>
    <cellStyle name="40% - Accent5 2 3 4 7" xfId="20709"/>
    <cellStyle name="40% - Accent5 2 3 5" xfId="3664"/>
    <cellStyle name="40% - Accent5 2 3 6" xfId="3665"/>
    <cellStyle name="40% - Accent5 2 3 6 2" xfId="6794"/>
    <cellStyle name="40% - Accent5 2 3 6 2 2" xfId="13036"/>
    <cellStyle name="40% - Accent5 2 3 6 2 3" xfId="19191"/>
    <cellStyle name="40% - Accent5 2 3 6 2 4" xfId="25318"/>
    <cellStyle name="40% - Accent5 2 3 6 3" xfId="9949"/>
    <cellStyle name="40% - Accent5 2 3 6 4" xfId="16114"/>
    <cellStyle name="40% - Accent5 2 3 6 5" xfId="22242"/>
    <cellStyle name="40% - Accent5 2 4" xfId="2335"/>
    <cellStyle name="40% - Accent5 2 4 2" xfId="3667"/>
    <cellStyle name="40% - Accent5 2 4 2 2" xfId="6796"/>
    <cellStyle name="40% - Accent5 2 4 2 2 2" xfId="13038"/>
    <cellStyle name="40% - Accent5 2 4 2 2 3" xfId="19193"/>
    <cellStyle name="40% - Accent5 2 4 2 2 4" xfId="25320"/>
    <cellStyle name="40% - Accent5 2 4 2 3" xfId="9951"/>
    <cellStyle name="40% - Accent5 2 4 2 4" xfId="16116"/>
    <cellStyle name="40% - Accent5 2 4 2 5" xfId="22244"/>
    <cellStyle name="40% - Accent5 2 4 3" xfId="3666"/>
    <cellStyle name="40% - Accent5 2 4 3 2" xfId="6795"/>
    <cellStyle name="40% - Accent5 2 4 3 2 2" xfId="13037"/>
    <cellStyle name="40% - Accent5 2 4 3 2 3" xfId="19192"/>
    <cellStyle name="40% - Accent5 2 4 3 2 4" xfId="25319"/>
    <cellStyle name="40% - Accent5 2 4 3 3" xfId="9950"/>
    <cellStyle name="40% - Accent5 2 4 3 4" xfId="16115"/>
    <cellStyle name="40% - Accent5 2 4 3 5" xfId="22243"/>
    <cellStyle name="40% - Accent5 2 4 4" xfId="5648"/>
    <cellStyle name="40% - Accent5 2 4 4 2" xfId="11890"/>
    <cellStyle name="40% - Accent5 2 4 4 3" xfId="18045"/>
    <cellStyle name="40% - Accent5 2 4 4 4" xfId="24172"/>
    <cellStyle name="40% - Accent5 2 4 5" xfId="8802"/>
    <cellStyle name="40% - Accent5 2 4 6" xfId="14611"/>
    <cellStyle name="40% - Accent5 2 4 7" xfId="20982"/>
    <cellStyle name="40% - Accent5 2 5" xfId="2168"/>
    <cellStyle name="40% - Accent5 2 5 2" xfId="3669"/>
    <cellStyle name="40% - Accent5 2 5 2 2" xfId="6798"/>
    <cellStyle name="40% - Accent5 2 5 2 2 2" xfId="13040"/>
    <cellStyle name="40% - Accent5 2 5 2 2 3" xfId="19195"/>
    <cellStyle name="40% - Accent5 2 5 2 2 4" xfId="25322"/>
    <cellStyle name="40% - Accent5 2 5 2 3" xfId="9953"/>
    <cellStyle name="40% - Accent5 2 5 2 4" xfId="16118"/>
    <cellStyle name="40% - Accent5 2 5 2 5" xfId="22246"/>
    <cellStyle name="40% - Accent5 2 5 3" xfId="3668"/>
    <cellStyle name="40% - Accent5 2 5 3 2" xfId="6797"/>
    <cellStyle name="40% - Accent5 2 5 3 2 2" xfId="13039"/>
    <cellStyle name="40% - Accent5 2 5 3 2 3" xfId="19194"/>
    <cellStyle name="40% - Accent5 2 5 3 2 4" xfId="25321"/>
    <cellStyle name="40% - Accent5 2 5 3 3" xfId="9952"/>
    <cellStyle name="40% - Accent5 2 5 3 4" xfId="16117"/>
    <cellStyle name="40% - Accent5 2 5 3 5" xfId="22245"/>
    <cellStyle name="40% - Accent5 2 5 4" xfId="5481"/>
    <cellStyle name="40% - Accent5 2 5 4 2" xfId="11723"/>
    <cellStyle name="40% - Accent5 2 5 4 3" xfId="17878"/>
    <cellStyle name="40% - Accent5 2 5 4 4" xfId="24005"/>
    <cellStyle name="40% - Accent5 2 5 5" xfId="8635"/>
    <cellStyle name="40% - Accent5 2 5 6" xfId="14612"/>
    <cellStyle name="40% - Accent5 2 5 7" xfId="20815"/>
    <cellStyle name="40% - Accent5 2 6" xfId="805"/>
    <cellStyle name="40% - Accent5 2 6 2" xfId="3671"/>
    <cellStyle name="40% - Accent5 2 6 2 2" xfId="6800"/>
    <cellStyle name="40% - Accent5 2 6 2 2 2" xfId="13042"/>
    <cellStyle name="40% - Accent5 2 6 2 2 3" xfId="19197"/>
    <cellStyle name="40% - Accent5 2 6 2 2 4" xfId="25324"/>
    <cellStyle name="40% - Accent5 2 6 2 3" xfId="9955"/>
    <cellStyle name="40% - Accent5 2 6 2 4" xfId="16120"/>
    <cellStyle name="40% - Accent5 2 6 2 5" xfId="22248"/>
    <cellStyle name="40% - Accent5 2 6 3" xfId="3670"/>
    <cellStyle name="40% - Accent5 2 6 3 2" xfId="6799"/>
    <cellStyle name="40% - Accent5 2 6 3 2 2" xfId="13041"/>
    <cellStyle name="40% - Accent5 2 6 3 2 3" xfId="19196"/>
    <cellStyle name="40% - Accent5 2 6 3 2 4" xfId="25323"/>
    <cellStyle name="40% - Accent5 2 6 3 3" xfId="9954"/>
    <cellStyle name="40% - Accent5 2 6 3 4" xfId="16119"/>
    <cellStyle name="40% - Accent5 2 6 3 5" xfId="22247"/>
    <cellStyle name="40% - Accent5 2 6 4" xfId="5154"/>
    <cellStyle name="40% - Accent5 2 6 4 2" xfId="11397"/>
    <cellStyle name="40% - Accent5 2 6 4 3" xfId="17552"/>
    <cellStyle name="40% - Accent5 2 6 4 4" xfId="23679"/>
    <cellStyle name="40% - Accent5 2 6 5" xfId="8311"/>
    <cellStyle name="40% - Accent5 2 6 6" xfId="14613"/>
    <cellStyle name="40% - Accent5 2 6 7" xfId="20494"/>
    <cellStyle name="40% - Accent5 2 7" xfId="252"/>
    <cellStyle name="40% - Accent5 2 7 2" xfId="3673"/>
    <cellStyle name="40% - Accent5 2 7 2 2" xfId="6802"/>
    <cellStyle name="40% - Accent5 2 7 2 2 2" xfId="13044"/>
    <cellStyle name="40% - Accent5 2 7 2 2 3" xfId="19199"/>
    <cellStyle name="40% - Accent5 2 7 2 2 4" xfId="25326"/>
    <cellStyle name="40% - Accent5 2 7 2 3" xfId="9957"/>
    <cellStyle name="40% - Accent5 2 7 2 4" xfId="16122"/>
    <cellStyle name="40% - Accent5 2 7 2 5" xfId="22250"/>
    <cellStyle name="40% - Accent5 2 7 3" xfId="3672"/>
    <cellStyle name="40% - Accent5 2 7 3 2" xfId="6801"/>
    <cellStyle name="40% - Accent5 2 7 3 2 2" xfId="13043"/>
    <cellStyle name="40% - Accent5 2 7 3 2 3" xfId="19198"/>
    <cellStyle name="40% - Accent5 2 7 3 2 4" xfId="25325"/>
    <cellStyle name="40% - Accent5 2 7 3 3" xfId="9956"/>
    <cellStyle name="40% - Accent5 2 7 3 4" xfId="16121"/>
    <cellStyle name="40% - Accent5 2 7 3 5" xfId="22249"/>
    <cellStyle name="40% - Accent5 2 7 4" xfId="5032"/>
    <cellStyle name="40% - Accent5 2 7 4 2" xfId="11275"/>
    <cellStyle name="40% - Accent5 2 7 4 3" xfId="17430"/>
    <cellStyle name="40% - Accent5 2 7 4 4" xfId="23557"/>
    <cellStyle name="40% - Accent5 2 7 5" xfId="8190"/>
    <cellStyle name="40% - Accent5 2 7 6" xfId="14614"/>
    <cellStyle name="40% - Accent5 2 7 7" xfId="21186"/>
    <cellStyle name="40% - Accent5 2 8" xfId="3674"/>
    <cellStyle name="40% - Accent5 2 8 2" xfId="6803"/>
    <cellStyle name="40% - Accent5 2 8 2 2" xfId="13045"/>
    <cellStyle name="40% - Accent5 2 8 2 3" xfId="19200"/>
    <cellStyle name="40% - Accent5 2 8 2 4" xfId="25327"/>
    <cellStyle name="40% - Accent5 2 8 3" xfId="9958"/>
    <cellStyle name="40% - Accent5 2 8 4" xfId="16123"/>
    <cellStyle name="40% - Accent5 2 8 5" xfId="22251"/>
    <cellStyle name="40% - Accent5 2 9" xfId="3675"/>
    <cellStyle name="40% - Accent5 2 9 2" xfId="6804"/>
    <cellStyle name="40% - Accent5 2 9 2 2" xfId="13046"/>
    <cellStyle name="40% - Accent5 2 9 2 3" xfId="19201"/>
    <cellStyle name="40% - Accent5 2 9 2 4" xfId="25328"/>
    <cellStyle name="40% - Accent5 2 9 3" xfId="9959"/>
    <cellStyle name="40% - Accent5 2 9 4" xfId="16124"/>
    <cellStyle name="40% - Accent5 2 9 5" xfId="22252"/>
    <cellStyle name="40% - Accent5 3" xfId="94"/>
    <cellStyle name="40% - Accent5 3 10" xfId="3676"/>
    <cellStyle name="40% - Accent5 3 10 2" xfId="6805"/>
    <cellStyle name="40% - Accent5 3 10 2 2" xfId="13047"/>
    <cellStyle name="40% - Accent5 3 10 2 3" xfId="19202"/>
    <cellStyle name="40% - Accent5 3 10 2 4" xfId="25329"/>
    <cellStyle name="40% - Accent5 3 10 3" xfId="9960"/>
    <cellStyle name="40% - Accent5 3 10 4" xfId="16125"/>
    <cellStyle name="40% - Accent5 3 10 5" xfId="22253"/>
    <cellStyle name="40% - Accent5 3 11" xfId="4942"/>
    <cellStyle name="40% - Accent5 3 11 2" xfId="11186"/>
    <cellStyle name="40% - Accent5 3 11 3" xfId="17341"/>
    <cellStyle name="40% - Accent5 3 11 4" xfId="23468"/>
    <cellStyle name="40% - Accent5 3 12" xfId="8100"/>
    <cellStyle name="40% - Accent5 3 13" xfId="14615"/>
    <cellStyle name="40% - Accent5 3 14" xfId="20380"/>
    <cellStyle name="40% - Accent5 3 2" xfId="95"/>
    <cellStyle name="40% - Accent5 3 2 10" xfId="4943"/>
    <cellStyle name="40% - Accent5 3 2 10 2" xfId="11187"/>
    <cellStyle name="40% - Accent5 3 2 10 3" xfId="17342"/>
    <cellStyle name="40% - Accent5 3 2 10 4" xfId="23469"/>
    <cellStyle name="40% - Accent5 3 2 11" xfId="8101"/>
    <cellStyle name="40% - Accent5 3 2 12" xfId="14616"/>
    <cellStyle name="40% - Accent5 3 2 13" xfId="20381"/>
    <cellStyle name="40% - Accent5 3 2 2" xfId="2036"/>
    <cellStyle name="40% - Accent5 3 2 2 10" xfId="20712"/>
    <cellStyle name="40% - Accent5 3 2 2 2" xfId="2421"/>
    <cellStyle name="40% - Accent5 3 2 2 2 2" xfId="3680"/>
    <cellStyle name="40% - Accent5 3 2 2 2 2 2" xfId="6809"/>
    <cellStyle name="40% - Accent5 3 2 2 2 2 2 2" xfId="13051"/>
    <cellStyle name="40% - Accent5 3 2 2 2 2 2 3" xfId="19206"/>
    <cellStyle name="40% - Accent5 3 2 2 2 2 2 4" xfId="25333"/>
    <cellStyle name="40% - Accent5 3 2 2 2 2 3" xfId="9964"/>
    <cellStyle name="40% - Accent5 3 2 2 2 2 4" xfId="16129"/>
    <cellStyle name="40% - Accent5 3 2 2 2 2 5" xfId="22257"/>
    <cellStyle name="40% - Accent5 3 2 2 2 3" xfId="3679"/>
    <cellStyle name="40% - Accent5 3 2 2 2 3 2" xfId="6808"/>
    <cellStyle name="40% - Accent5 3 2 2 2 3 2 2" xfId="13050"/>
    <cellStyle name="40% - Accent5 3 2 2 2 3 2 3" xfId="19205"/>
    <cellStyle name="40% - Accent5 3 2 2 2 3 2 4" xfId="25332"/>
    <cellStyle name="40% - Accent5 3 2 2 2 3 3" xfId="9963"/>
    <cellStyle name="40% - Accent5 3 2 2 2 3 4" xfId="16128"/>
    <cellStyle name="40% - Accent5 3 2 2 2 3 5" xfId="22256"/>
    <cellStyle name="40% - Accent5 3 2 2 2 4" xfId="5734"/>
    <cellStyle name="40% - Accent5 3 2 2 2 4 2" xfId="11976"/>
    <cellStyle name="40% - Accent5 3 2 2 2 4 3" xfId="18131"/>
    <cellStyle name="40% - Accent5 3 2 2 2 4 4" xfId="24258"/>
    <cellStyle name="40% - Accent5 3 2 2 2 5" xfId="8888"/>
    <cellStyle name="40% - Accent5 3 2 2 2 6" xfId="14618"/>
    <cellStyle name="40% - Accent5 3 2 2 2 7" xfId="21068"/>
    <cellStyle name="40% - Accent5 3 2 2 3" xfId="2246"/>
    <cellStyle name="40% - Accent5 3 2 2 3 2" xfId="3682"/>
    <cellStyle name="40% - Accent5 3 2 2 3 2 2" xfId="6811"/>
    <cellStyle name="40% - Accent5 3 2 2 3 2 2 2" xfId="13053"/>
    <cellStyle name="40% - Accent5 3 2 2 3 2 2 3" xfId="19208"/>
    <cellStyle name="40% - Accent5 3 2 2 3 2 2 4" xfId="25335"/>
    <cellStyle name="40% - Accent5 3 2 2 3 2 3" xfId="9966"/>
    <cellStyle name="40% - Accent5 3 2 2 3 2 4" xfId="16131"/>
    <cellStyle name="40% - Accent5 3 2 2 3 2 5" xfId="22259"/>
    <cellStyle name="40% - Accent5 3 2 2 3 3" xfId="3681"/>
    <cellStyle name="40% - Accent5 3 2 2 3 3 2" xfId="6810"/>
    <cellStyle name="40% - Accent5 3 2 2 3 3 2 2" xfId="13052"/>
    <cellStyle name="40% - Accent5 3 2 2 3 3 2 3" xfId="19207"/>
    <cellStyle name="40% - Accent5 3 2 2 3 3 2 4" xfId="25334"/>
    <cellStyle name="40% - Accent5 3 2 2 3 3 3" xfId="9965"/>
    <cellStyle name="40% - Accent5 3 2 2 3 3 4" xfId="16130"/>
    <cellStyle name="40% - Accent5 3 2 2 3 3 5" xfId="22258"/>
    <cellStyle name="40% - Accent5 3 2 2 3 4" xfId="5559"/>
    <cellStyle name="40% - Accent5 3 2 2 3 4 2" xfId="11801"/>
    <cellStyle name="40% - Accent5 3 2 2 3 4 3" xfId="17956"/>
    <cellStyle name="40% - Accent5 3 2 2 3 4 4" xfId="24083"/>
    <cellStyle name="40% - Accent5 3 2 2 3 5" xfId="8713"/>
    <cellStyle name="40% - Accent5 3 2 2 3 6" xfId="14619"/>
    <cellStyle name="40% - Accent5 3 2 2 3 7" xfId="20893"/>
    <cellStyle name="40% - Accent5 3 2 2 4" xfId="3683"/>
    <cellStyle name="40% - Accent5 3 2 2 4 2" xfId="6812"/>
    <cellStyle name="40% - Accent5 3 2 2 4 2 2" xfId="13054"/>
    <cellStyle name="40% - Accent5 3 2 2 4 2 3" xfId="19209"/>
    <cellStyle name="40% - Accent5 3 2 2 4 2 4" xfId="25336"/>
    <cellStyle name="40% - Accent5 3 2 2 4 3" xfId="9967"/>
    <cellStyle name="40% - Accent5 3 2 2 4 4" xfId="16132"/>
    <cellStyle name="40% - Accent5 3 2 2 4 5" xfId="22260"/>
    <cellStyle name="40% - Accent5 3 2 2 5" xfId="3684"/>
    <cellStyle name="40% - Accent5 3 2 2 5 2" xfId="6813"/>
    <cellStyle name="40% - Accent5 3 2 2 5 2 2" xfId="13055"/>
    <cellStyle name="40% - Accent5 3 2 2 5 2 3" xfId="19210"/>
    <cellStyle name="40% - Accent5 3 2 2 5 2 4" xfId="25337"/>
    <cellStyle name="40% - Accent5 3 2 2 5 3" xfId="9968"/>
    <cellStyle name="40% - Accent5 3 2 2 5 4" xfId="16133"/>
    <cellStyle name="40% - Accent5 3 2 2 5 5" xfId="22261"/>
    <cellStyle name="40% - Accent5 3 2 2 6" xfId="3678"/>
    <cellStyle name="40% - Accent5 3 2 2 6 2" xfId="6807"/>
    <cellStyle name="40% - Accent5 3 2 2 6 2 2" xfId="13049"/>
    <cellStyle name="40% - Accent5 3 2 2 6 2 3" xfId="19204"/>
    <cellStyle name="40% - Accent5 3 2 2 6 2 4" xfId="25331"/>
    <cellStyle name="40% - Accent5 3 2 2 6 3" xfId="9962"/>
    <cellStyle name="40% - Accent5 3 2 2 6 4" xfId="16127"/>
    <cellStyle name="40% - Accent5 3 2 2 6 5" xfId="22255"/>
    <cellStyle name="40% - Accent5 3 2 2 7" xfId="5377"/>
    <cellStyle name="40% - Accent5 3 2 2 7 2" xfId="11619"/>
    <cellStyle name="40% - Accent5 3 2 2 7 3" xfId="17774"/>
    <cellStyle name="40% - Accent5 3 2 2 7 4" xfId="23901"/>
    <cellStyle name="40% - Accent5 3 2 2 8" xfId="8532"/>
    <cellStyle name="40% - Accent5 3 2 2 9" xfId="14617"/>
    <cellStyle name="40% - Accent5 3 2 3" xfId="2338"/>
    <cellStyle name="40% - Accent5 3 2 3 2" xfId="3686"/>
    <cellStyle name="40% - Accent5 3 2 3 2 2" xfId="6815"/>
    <cellStyle name="40% - Accent5 3 2 3 2 2 2" xfId="13057"/>
    <cellStyle name="40% - Accent5 3 2 3 2 2 3" xfId="19212"/>
    <cellStyle name="40% - Accent5 3 2 3 2 2 4" xfId="25339"/>
    <cellStyle name="40% - Accent5 3 2 3 2 3" xfId="9970"/>
    <cellStyle name="40% - Accent5 3 2 3 2 4" xfId="16135"/>
    <cellStyle name="40% - Accent5 3 2 3 2 5" xfId="22263"/>
    <cellStyle name="40% - Accent5 3 2 3 3" xfId="3685"/>
    <cellStyle name="40% - Accent5 3 2 3 3 2" xfId="6814"/>
    <cellStyle name="40% - Accent5 3 2 3 3 2 2" xfId="13056"/>
    <cellStyle name="40% - Accent5 3 2 3 3 2 3" xfId="19211"/>
    <cellStyle name="40% - Accent5 3 2 3 3 2 4" xfId="25338"/>
    <cellStyle name="40% - Accent5 3 2 3 3 3" xfId="9969"/>
    <cellStyle name="40% - Accent5 3 2 3 3 4" xfId="16134"/>
    <cellStyle name="40% - Accent5 3 2 3 3 5" xfId="22262"/>
    <cellStyle name="40% - Accent5 3 2 3 4" xfId="5651"/>
    <cellStyle name="40% - Accent5 3 2 3 4 2" xfId="11893"/>
    <cellStyle name="40% - Accent5 3 2 3 4 3" xfId="18048"/>
    <cellStyle name="40% - Accent5 3 2 3 4 4" xfId="24175"/>
    <cellStyle name="40% - Accent5 3 2 3 5" xfId="8805"/>
    <cellStyle name="40% - Accent5 3 2 3 6" xfId="14620"/>
    <cellStyle name="40% - Accent5 3 2 3 7" xfId="20985"/>
    <cellStyle name="40% - Accent5 3 2 4" xfId="2171"/>
    <cellStyle name="40% - Accent5 3 2 4 2" xfId="3688"/>
    <cellStyle name="40% - Accent5 3 2 4 2 2" xfId="6817"/>
    <cellStyle name="40% - Accent5 3 2 4 2 2 2" xfId="13059"/>
    <cellStyle name="40% - Accent5 3 2 4 2 2 3" xfId="19214"/>
    <cellStyle name="40% - Accent5 3 2 4 2 2 4" xfId="25341"/>
    <cellStyle name="40% - Accent5 3 2 4 2 3" xfId="9972"/>
    <cellStyle name="40% - Accent5 3 2 4 2 4" xfId="16137"/>
    <cellStyle name="40% - Accent5 3 2 4 2 5" xfId="22265"/>
    <cellStyle name="40% - Accent5 3 2 4 3" xfId="3687"/>
    <cellStyle name="40% - Accent5 3 2 4 3 2" xfId="6816"/>
    <cellStyle name="40% - Accent5 3 2 4 3 2 2" xfId="13058"/>
    <cellStyle name="40% - Accent5 3 2 4 3 2 3" xfId="19213"/>
    <cellStyle name="40% - Accent5 3 2 4 3 2 4" xfId="25340"/>
    <cellStyle name="40% - Accent5 3 2 4 3 3" xfId="9971"/>
    <cellStyle name="40% - Accent5 3 2 4 3 4" xfId="16136"/>
    <cellStyle name="40% - Accent5 3 2 4 3 5" xfId="22264"/>
    <cellStyle name="40% - Accent5 3 2 4 4" xfId="5484"/>
    <cellStyle name="40% - Accent5 3 2 4 4 2" xfId="11726"/>
    <cellStyle name="40% - Accent5 3 2 4 4 3" xfId="17881"/>
    <cellStyle name="40% - Accent5 3 2 4 4 4" xfId="24008"/>
    <cellStyle name="40% - Accent5 3 2 4 5" xfId="8638"/>
    <cellStyle name="40% - Accent5 3 2 4 6" xfId="14621"/>
    <cellStyle name="40% - Accent5 3 2 4 7" xfId="20818"/>
    <cellStyle name="40% - Accent5 3 2 5" xfId="808"/>
    <cellStyle name="40% - Accent5 3 2 5 2" xfId="3690"/>
    <cellStyle name="40% - Accent5 3 2 5 2 2" xfId="6819"/>
    <cellStyle name="40% - Accent5 3 2 5 2 2 2" xfId="13061"/>
    <cellStyle name="40% - Accent5 3 2 5 2 2 3" xfId="19216"/>
    <cellStyle name="40% - Accent5 3 2 5 2 2 4" xfId="25343"/>
    <cellStyle name="40% - Accent5 3 2 5 2 3" xfId="9974"/>
    <cellStyle name="40% - Accent5 3 2 5 2 4" xfId="16139"/>
    <cellStyle name="40% - Accent5 3 2 5 2 5" xfId="22267"/>
    <cellStyle name="40% - Accent5 3 2 5 3" xfId="3689"/>
    <cellStyle name="40% - Accent5 3 2 5 3 2" xfId="6818"/>
    <cellStyle name="40% - Accent5 3 2 5 3 2 2" xfId="13060"/>
    <cellStyle name="40% - Accent5 3 2 5 3 2 3" xfId="19215"/>
    <cellStyle name="40% - Accent5 3 2 5 3 2 4" xfId="25342"/>
    <cellStyle name="40% - Accent5 3 2 5 3 3" xfId="9973"/>
    <cellStyle name="40% - Accent5 3 2 5 3 4" xfId="16138"/>
    <cellStyle name="40% - Accent5 3 2 5 3 5" xfId="22266"/>
    <cellStyle name="40% - Accent5 3 2 5 4" xfId="5157"/>
    <cellStyle name="40% - Accent5 3 2 5 4 2" xfId="11400"/>
    <cellStyle name="40% - Accent5 3 2 5 4 3" xfId="17555"/>
    <cellStyle name="40% - Accent5 3 2 5 4 4" xfId="23682"/>
    <cellStyle name="40% - Accent5 3 2 5 5" xfId="8314"/>
    <cellStyle name="40% - Accent5 3 2 5 6" xfId="14622"/>
    <cellStyle name="40% - Accent5 3 2 5 7" xfId="20497"/>
    <cellStyle name="40% - Accent5 3 2 6" xfId="255"/>
    <cellStyle name="40% - Accent5 3 2 6 2" xfId="3692"/>
    <cellStyle name="40% - Accent5 3 2 6 2 2" xfId="6821"/>
    <cellStyle name="40% - Accent5 3 2 6 2 2 2" xfId="13063"/>
    <cellStyle name="40% - Accent5 3 2 6 2 2 3" xfId="19218"/>
    <cellStyle name="40% - Accent5 3 2 6 2 2 4" xfId="25345"/>
    <cellStyle name="40% - Accent5 3 2 6 2 3" xfId="9976"/>
    <cellStyle name="40% - Accent5 3 2 6 2 4" xfId="16141"/>
    <cellStyle name="40% - Accent5 3 2 6 2 5" xfId="22269"/>
    <cellStyle name="40% - Accent5 3 2 6 3" xfId="3691"/>
    <cellStyle name="40% - Accent5 3 2 6 3 2" xfId="6820"/>
    <cellStyle name="40% - Accent5 3 2 6 3 2 2" xfId="13062"/>
    <cellStyle name="40% - Accent5 3 2 6 3 2 3" xfId="19217"/>
    <cellStyle name="40% - Accent5 3 2 6 3 2 4" xfId="25344"/>
    <cellStyle name="40% - Accent5 3 2 6 3 3" xfId="9975"/>
    <cellStyle name="40% - Accent5 3 2 6 3 4" xfId="16140"/>
    <cellStyle name="40% - Accent5 3 2 6 3 5" xfId="22268"/>
    <cellStyle name="40% - Accent5 3 2 6 4" xfId="5035"/>
    <cellStyle name="40% - Accent5 3 2 6 4 2" xfId="11278"/>
    <cellStyle name="40% - Accent5 3 2 6 4 3" xfId="17433"/>
    <cellStyle name="40% - Accent5 3 2 6 4 4" xfId="23560"/>
    <cellStyle name="40% - Accent5 3 2 6 5" xfId="8193"/>
    <cellStyle name="40% - Accent5 3 2 6 6" xfId="14623"/>
    <cellStyle name="40% - Accent5 3 2 6 7" xfId="21189"/>
    <cellStyle name="40% - Accent5 3 2 7" xfId="3693"/>
    <cellStyle name="40% - Accent5 3 2 7 2" xfId="6822"/>
    <cellStyle name="40% - Accent5 3 2 7 2 2" xfId="13064"/>
    <cellStyle name="40% - Accent5 3 2 7 2 3" xfId="19219"/>
    <cellStyle name="40% - Accent5 3 2 7 2 4" xfId="25346"/>
    <cellStyle name="40% - Accent5 3 2 7 3" xfId="9977"/>
    <cellStyle name="40% - Accent5 3 2 7 4" xfId="16142"/>
    <cellStyle name="40% - Accent5 3 2 7 5" xfId="22270"/>
    <cellStyle name="40% - Accent5 3 2 8" xfId="3694"/>
    <cellStyle name="40% - Accent5 3 2 8 2" xfId="6823"/>
    <cellStyle name="40% - Accent5 3 2 8 2 2" xfId="13065"/>
    <cellStyle name="40% - Accent5 3 2 8 2 3" xfId="19220"/>
    <cellStyle name="40% - Accent5 3 2 8 2 4" xfId="25347"/>
    <cellStyle name="40% - Accent5 3 2 8 3" xfId="9978"/>
    <cellStyle name="40% - Accent5 3 2 8 4" xfId="16143"/>
    <cellStyle name="40% - Accent5 3 2 8 5" xfId="22271"/>
    <cellStyle name="40% - Accent5 3 2 9" xfId="3677"/>
    <cellStyle name="40% - Accent5 3 2 9 2" xfId="6806"/>
    <cellStyle name="40% - Accent5 3 2 9 2 2" xfId="13048"/>
    <cellStyle name="40% - Accent5 3 2 9 2 3" xfId="19203"/>
    <cellStyle name="40% - Accent5 3 2 9 2 4" xfId="25330"/>
    <cellStyle name="40% - Accent5 3 2 9 3" xfId="9961"/>
    <cellStyle name="40% - Accent5 3 2 9 4" xfId="16126"/>
    <cellStyle name="40% - Accent5 3 2 9 5" xfId="22254"/>
    <cellStyle name="40% - Accent5 3 3" xfId="2035"/>
    <cellStyle name="40% - Accent5 3 3 10" xfId="20711"/>
    <cellStyle name="40% - Accent5 3 3 2" xfId="2420"/>
    <cellStyle name="40% - Accent5 3 3 2 2" xfId="3697"/>
    <cellStyle name="40% - Accent5 3 3 2 2 2" xfId="6826"/>
    <cellStyle name="40% - Accent5 3 3 2 2 2 2" xfId="13068"/>
    <cellStyle name="40% - Accent5 3 3 2 2 2 3" xfId="19223"/>
    <cellStyle name="40% - Accent5 3 3 2 2 2 4" xfId="25350"/>
    <cellStyle name="40% - Accent5 3 3 2 2 3" xfId="9981"/>
    <cellStyle name="40% - Accent5 3 3 2 2 4" xfId="16146"/>
    <cellStyle name="40% - Accent5 3 3 2 2 5" xfId="22274"/>
    <cellStyle name="40% - Accent5 3 3 2 3" xfId="3696"/>
    <cellStyle name="40% - Accent5 3 3 2 3 2" xfId="6825"/>
    <cellStyle name="40% - Accent5 3 3 2 3 2 2" xfId="13067"/>
    <cellStyle name="40% - Accent5 3 3 2 3 2 3" xfId="19222"/>
    <cellStyle name="40% - Accent5 3 3 2 3 2 4" xfId="25349"/>
    <cellStyle name="40% - Accent5 3 3 2 3 3" xfId="9980"/>
    <cellStyle name="40% - Accent5 3 3 2 3 4" xfId="16145"/>
    <cellStyle name="40% - Accent5 3 3 2 3 5" xfId="22273"/>
    <cellStyle name="40% - Accent5 3 3 2 4" xfId="5733"/>
    <cellStyle name="40% - Accent5 3 3 2 4 2" xfId="11975"/>
    <cellStyle name="40% - Accent5 3 3 2 4 3" xfId="18130"/>
    <cellStyle name="40% - Accent5 3 3 2 4 4" xfId="24257"/>
    <cellStyle name="40% - Accent5 3 3 2 5" xfId="8887"/>
    <cellStyle name="40% - Accent5 3 3 2 6" xfId="14625"/>
    <cellStyle name="40% - Accent5 3 3 2 7" xfId="21067"/>
    <cellStyle name="40% - Accent5 3 3 3" xfId="2245"/>
    <cellStyle name="40% - Accent5 3 3 3 2" xfId="3699"/>
    <cellStyle name="40% - Accent5 3 3 3 2 2" xfId="6828"/>
    <cellStyle name="40% - Accent5 3 3 3 2 2 2" xfId="13070"/>
    <cellStyle name="40% - Accent5 3 3 3 2 2 3" xfId="19225"/>
    <cellStyle name="40% - Accent5 3 3 3 2 2 4" xfId="25352"/>
    <cellStyle name="40% - Accent5 3 3 3 2 3" xfId="9983"/>
    <cellStyle name="40% - Accent5 3 3 3 2 4" xfId="16148"/>
    <cellStyle name="40% - Accent5 3 3 3 2 5" xfId="22276"/>
    <cellStyle name="40% - Accent5 3 3 3 3" xfId="3698"/>
    <cellStyle name="40% - Accent5 3 3 3 3 2" xfId="6827"/>
    <cellStyle name="40% - Accent5 3 3 3 3 2 2" xfId="13069"/>
    <cellStyle name="40% - Accent5 3 3 3 3 2 3" xfId="19224"/>
    <cellStyle name="40% - Accent5 3 3 3 3 2 4" xfId="25351"/>
    <cellStyle name="40% - Accent5 3 3 3 3 3" xfId="9982"/>
    <cellStyle name="40% - Accent5 3 3 3 3 4" xfId="16147"/>
    <cellStyle name="40% - Accent5 3 3 3 3 5" xfId="22275"/>
    <cellStyle name="40% - Accent5 3 3 3 4" xfId="5558"/>
    <cellStyle name="40% - Accent5 3 3 3 4 2" xfId="11800"/>
    <cellStyle name="40% - Accent5 3 3 3 4 3" xfId="17955"/>
    <cellStyle name="40% - Accent5 3 3 3 4 4" xfId="24082"/>
    <cellStyle name="40% - Accent5 3 3 3 5" xfId="8712"/>
    <cellStyle name="40% - Accent5 3 3 3 6" xfId="14626"/>
    <cellStyle name="40% - Accent5 3 3 3 7" xfId="20892"/>
    <cellStyle name="40% - Accent5 3 3 4" xfId="3700"/>
    <cellStyle name="40% - Accent5 3 3 4 2" xfId="6829"/>
    <cellStyle name="40% - Accent5 3 3 4 2 2" xfId="13071"/>
    <cellStyle name="40% - Accent5 3 3 4 2 3" xfId="19226"/>
    <cellStyle name="40% - Accent5 3 3 4 2 4" xfId="25353"/>
    <cellStyle name="40% - Accent5 3 3 4 3" xfId="9984"/>
    <cellStyle name="40% - Accent5 3 3 4 4" xfId="16149"/>
    <cellStyle name="40% - Accent5 3 3 4 5" xfId="22277"/>
    <cellStyle name="40% - Accent5 3 3 5" xfId="3701"/>
    <cellStyle name="40% - Accent5 3 3 5 2" xfId="6830"/>
    <cellStyle name="40% - Accent5 3 3 5 2 2" xfId="13072"/>
    <cellStyle name="40% - Accent5 3 3 5 2 3" xfId="19227"/>
    <cellStyle name="40% - Accent5 3 3 5 2 4" xfId="25354"/>
    <cellStyle name="40% - Accent5 3 3 5 3" xfId="9985"/>
    <cellStyle name="40% - Accent5 3 3 5 4" xfId="16150"/>
    <cellStyle name="40% - Accent5 3 3 5 5" xfId="22278"/>
    <cellStyle name="40% - Accent5 3 3 6" xfId="3695"/>
    <cellStyle name="40% - Accent5 3 3 6 2" xfId="6824"/>
    <cellStyle name="40% - Accent5 3 3 6 2 2" xfId="13066"/>
    <cellStyle name="40% - Accent5 3 3 6 2 3" xfId="19221"/>
    <cellStyle name="40% - Accent5 3 3 6 2 4" xfId="25348"/>
    <cellStyle name="40% - Accent5 3 3 6 3" xfId="9979"/>
    <cellStyle name="40% - Accent5 3 3 6 4" xfId="16144"/>
    <cellStyle name="40% - Accent5 3 3 6 5" xfId="22272"/>
    <cellStyle name="40% - Accent5 3 3 7" xfId="5376"/>
    <cellStyle name="40% - Accent5 3 3 7 2" xfId="11618"/>
    <cellStyle name="40% - Accent5 3 3 7 3" xfId="17773"/>
    <cellStyle name="40% - Accent5 3 3 7 4" xfId="23900"/>
    <cellStyle name="40% - Accent5 3 3 8" xfId="8531"/>
    <cellStyle name="40% - Accent5 3 3 9" xfId="14624"/>
    <cellStyle name="40% - Accent5 3 4" xfId="2337"/>
    <cellStyle name="40% - Accent5 3 4 2" xfId="3703"/>
    <cellStyle name="40% - Accent5 3 4 2 2" xfId="6832"/>
    <cellStyle name="40% - Accent5 3 4 2 2 2" xfId="13074"/>
    <cellStyle name="40% - Accent5 3 4 2 2 3" xfId="19229"/>
    <cellStyle name="40% - Accent5 3 4 2 2 4" xfId="25356"/>
    <cellStyle name="40% - Accent5 3 4 2 3" xfId="9987"/>
    <cellStyle name="40% - Accent5 3 4 2 4" xfId="16152"/>
    <cellStyle name="40% - Accent5 3 4 2 5" xfId="22280"/>
    <cellStyle name="40% - Accent5 3 4 3" xfId="3702"/>
    <cellStyle name="40% - Accent5 3 4 3 2" xfId="6831"/>
    <cellStyle name="40% - Accent5 3 4 3 2 2" xfId="13073"/>
    <cellStyle name="40% - Accent5 3 4 3 2 3" xfId="19228"/>
    <cellStyle name="40% - Accent5 3 4 3 2 4" xfId="25355"/>
    <cellStyle name="40% - Accent5 3 4 3 3" xfId="9986"/>
    <cellStyle name="40% - Accent5 3 4 3 4" xfId="16151"/>
    <cellStyle name="40% - Accent5 3 4 3 5" xfId="22279"/>
    <cellStyle name="40% - Accent5 3 4 4" xfId="5650"/>
    <cellStyle name="40% - Accent5 3 4 4 2" xfId="11892"/>
    <cellStyle name="40% - Accent5 3 4 4 3" xfId="18047"/>
    <cellStyle name="40% - Accent5 3 4 4 4" xfId="24174"/>
    <cellStyle name="40% - Accent5 3 4 5" xfId="8804"/>
    <cellStyle name="40% - Accent5 3 4 6" xfId="14627"/>
    <cellStyle name="40% - Accent5 3 4 7" xfId="20984"/>
    <cellStyle name="40% - Accent5 3 5" xfId="2170"/>
    <cellStyle name="40% - Accent5 3 5 2" xfId="3705"/>
    <cellStyle name="40% - Accent5 3 5 2 2" xfId="6834"/>
    <cellStyle name="40% - Accent5 3 5 2 2 2" xfId="13076"/>
    <cellStyle name="40% - Accent5 3 5 2 2 3" xfId="19231"/>
    <cellStyle name="40% - Accent5 3 5 2 2 4" xfId="25358"/>
    <cellStyle name="40% - Accent5 3 5 2 3" xfId="9989"/>
    <cellStyle name="40% - Accent5 3 5 2 4" xfId="16154"/>
    <cellStyle name="40% - Accent5 3 5 2 5" xfId="22282"/>
    <cellStyle name="40% - Accent5 3 5 3" xfId="3704"/>
    <cellStyle name="40% - Accent5 3 5 3 2" xfId="6833"/>
    <cellStyle name="40% - Accent5 3 5 3 2 2" xfId="13075"/>
    <cellStyle name="40% - Accent5 3 5 3 2 3" xfId="19230"/>
    <cellStyle name="40% - Accent5 3 5 3 2 4" xfId="25357"/>
    <cellStyle name="40% - Accent5 3 5 3 3" xfId="9988"/>
    <cellStyle name="40% - Accent5 3 5 3 4" xfId="16153"/>
    <cellStyle name="40% - Accent5 3 5 3 5" xfId="22281"/>
    <cellStyle name="40% - Accent5 3 5 4" xfId="5483"/>
    <cellStyle name="40% - Accent5 3 5 4 2" xfId="11725"/>
    <cellStyle name="40% - Accent5 3 5 4 3" xfId="17880"/>
    <cellStyle name="40% - Accent5 3 5 4 4" xfId="24007"/>
    <cellStyle name="40% - Accent5 3 5 5" xfId="8637"/>
    <cellStyle name="40% - Accent5 3 5 6" xfId="14628"/>
    <cellStyle name="40% - Accent5 3 5 7" xfId="20817"/>
    <cellStyle name="40% - Accent5 3 6" xfId="807"/>
    <cellStyle name="40% - Accent5 3 6 2" xfId="3707"/>
    <cellStyle name="40% - Accent5 3 6 2 2" xfId="6836"/>
    <cellStyle name="40% - Accent5 3 6 2 2 2" xfId="13078"/>
    <cellStyle name="40% - Accent5 3 6 2 2 3" xfId="19233"/>
    <cellStyle name="40% - Accent5 3 6 2 2 4" xfId="25360"/>
    <cellStyle name="40% - Accent5 3 6 2 3" xfId="9991"/>
    <cellStyle name="40% - Accent5 3 6 2 4" xfId="16156"/>
    <cellStyle name="40% - Accent5 3 6 2 5" xfId="22284"/>
    <cellStyle name="40% - Accent5 3 6 3" xfId="3706"/>
    <cellStyle name="40% - Accent5 3 6 3 2" xfId="6835"/>
    <cellStyle name="40% - Accent5 3 6 3 2 2" xfId="13077"/>
    <cellStyle name="40% - Accent5 3 6 3 2 3" xfId="19232"/>
    <cellStyle name="40% - Accent5 3 6 3 2 4" xfId="25359"/>
    <cellStyle name="40% - Accent5 3 6 3 3" xfId="9990"/>
    <cellStyle name="40% - Accent5 3 6 3 4" xfId="16155"/>
    <cellStyle name="40% - Accent5 3 6 3 5" xfId="22283"/>
    <cellStyle name="40% - Accent5 3 6 4" xfId="5156"/>
    <cellStyle name="40% - Accent5 3 6 4 2" xfId="11399"/>
    <cellStyle name="40% - Accent5 3 6 4 3" xfId="17554"/>
    <cellStyle name="40% - Accent5 3 6 4 4" xfId="23681"/>
    <cellStyle name="40% - Accent5 3 6 5" xfId="8313"/>
    <cellStyle name="40% - Accent5 3 6 6" xfId="14629"/>
    <cellStyle name="40% - Accent5 3 6 7" xfId="20496"/>
    <cellStyle name="40% - Accent5 3 7" xfId="254"/>
    <cellStyle name="40% - Accent5 3 7 2" xfId="3709"/>
    <cellStyle name="40% - Accent5 3 7 2 2" xfId="6838"/>
    <cellStyle name="40% - Accent5 3 7 2 2 2" xfId="13080"/>
    <cellStyle name="40% - Accent5 3 7 2 2 3" xfId="19235"/>
    <cellStyle name="40% - Accent5 3 7 2 2 4" xfId="25362"/>
    <cellStyle name="40% - Accent5 3 7 2 3" xfId="9993"/>
    <cellStyle name="40% - Accent5 3 7 2 4" xfId="16158"/>
    <cellStyle name="40% - Accent5 3 7 2 5" xfId="22286"/>
    <cellStyle name="40% - Accent5 3 7 3" xfId="3708"/>
    <cellStyle name="40% - Accent5 3 7 3 2" xfId="6837"/>
    <cellStyle name="40% - Accent5 3 7 3 2 2" xfId="13079"/>
    <cellStyle name="40% - Accent5 3 7 3 2 3" xfId="19234"/>
    <cellStyle name="40% - Accent5 3 7 3 2 4" xfId="25361"/>
    <cellStyle name="40% - Accent5 3 7 3 3" xfId="9992"/>
    <cellStyle name="40% - Accent5 3 7 3 4" xfId="16157"/>
    <cellStyle name="40% - Accent5 3 7 3 5" xfId="22285"/>
    <cellStyle name="40% - Accent5 3 7 4" xfId="5034"/>
    <cellStyle name="40% - Accent5 3 7 4 2" xfId="11277"/>
    <cellStyle name="40% - Accent5 3 7 4 3" xfId="17432"/>
    <cellStyle name="40% - Accent5 3 7 4 4" xfId="23559"/>
    <cellStyle name="40% - Accent5 3 7 5" xfId="8192"/>
    <cellStyle name="40% - Accent5 3 7 6" xfId="14630"/>
    <cellStyle name="40% - Accent5 3 7 7" xfId="21188"/>
    <cellStyle name="40% - Accent5 3 8" xfId="3710"/>
    <cellStyle name="40% - Accent5 3 8 2" xfId="6839"/>
    <cellStyle name="40% - Accent5 3 8 2 2" xfId="13081"/>
    <cellStyle name="40% - Accent5 3 8 2 3" xfId="19236"/>
    <cellStyle name="40% - Accent5 3 8 2 4" xfId="25363"/>
    <cellStyle name="40% - Accent5 3 8 3" xfId="9994"/>
    <cellStyle name="40% - Accent5 3 8 4" xfId="16159"/>
    <cellStyle name="40% - Accent5 3 8 5" xfId="22287"/>
    <cellStyle name="40% - Accent5 3 9" xfId="3711"/>
    <cellStyle name="40% - Accent5 3 9 2" xfId="6840"/>
    <cellStyle name="40% - Accent5 3 9 2 2" xfId="13082"/>
    <cellStyle name="40% - Accent5 3 9 2 3" xfId="19237"/>
    <cellStyle name="40% - Accent5 3 9 2 4" xfId="25364"/>
    <cellStyle name="40% - Accent5 3 9 3" xfId="9995"/>
    <cellStyle name="40% - Accent5 3 9 4" xfId="16160"/>
    <cellStyle name="40% - Accent5 3 9 5" xfId="22288"/>
    <cellStyle name="40% - Accent5 4" xfId="96"/>
    <cellStyle name="40% - Accent5 4 2" xfId="97"/>
    <cellStyle name="40% - Accent5 4 2 10" xfId="4944"/>
    <cellStyle name="40% - Accent5 4 2 10 2" xfId="11188"/>
    <cellStyle name="40% - Accent5 4 2 10 3" xfId="17343"/>
    <cellStyle name="40% - Accent5 4 2 10 4" xfId="23470"/>
    <cellStyle name="40% - Accent5 4 2 11" xfId="8102"/>
    <cellStyle name="40% - Accent5 4 2 12" xfId="14631"/>
    <cellStyle name="40% - Accent5 4 2 13" xfId="20382"/>
    <cellStyle name="40% - Accent5 4 2 2" xfId="2037"/>
    <cellStyle name="40% - Accent5 4 2 2 10" xfId="20713"/>
    <cellStyle name="40% - Accent5 4 2 2 2" xfId="2422"/>
    <cellStyle name="40% - Accent5 4 2 2 2 2" xfId="3715"/>
    <cellStyle name="40% - Accent5 4 2 2 2 2 2" xfId="6844"/>
    <cellStyle name="40% - Accent5 4 2 2 2 2 2 2" xfId="13086"/>
    <cellStyle name="40% - Accent5 4 2 2 2 2 2 3" xfId="19241"/>
    <cellStyle name="40% - Accent5 4 2 2 2 2 2 4" xfId="25368"/>
    <cellStyle name="40% - Accent5 4 2 2 2 2 3" xfId="9999"/>
    <cellStyle name="40% - Accent5 4 2 2 2 2 4" xfId="16164"/>
    <cellStyle name="40% - Accent5 4 2 2 2 2 5" xfId="22292"/>
    <cellStyle name="40% - Accent5 4 2 2 2 3" xfId="3714"/>
    <cellStyle name="40% - Accent5 4 2 2 2 3 2" xfId="6843"/>
    <cellStyle name="40% - Accent5 4 2 2 2 3 2 2" xfId="13085"/>
    <cellStyle name="40% - Accent5 4 2 2 2 3 2 3" xfId="19240"/>
    <cellStyle name="40% - Accent5 4 2 2 2 3 2 4" xfId="25367"/>
    <cellStyle name="40% - Accent5 4 2 2 2 3 3" xfId="9998"/>
    <cellStyle name="40% - Accent5 4 2 2 2 3 4" xfId="16163"/>
    <cellStyle name="40% - Accent5 4 2 2 2 3 5" xfId="22291"/>
    <cellStyle name="40% - Accent5 4 2 2 2 4" xfId="5735"/>
    <cellStyle name="40% - Accent5 4 2 2 2 4 2" xfId="11977"/>
    <cellStyle name="40% - Accent5 4 2 2 2 4 3" xfId="18132"/>
    <cellStyle name="40% - Accent5 4 2 2 2 4 4" xfId="24259"/>
    <cellStyle name="40% - Accent5 4 2 2 2 5" xfId="8889"/>
    <cellStyle name="40% - Accent5 4 2 2 2 6" xfId="14633"/>
    <cellStyle name="40% - Accent5 4 2 2 2 7" xfId="21069"/>
    <cellStyle name="40% - Accent5 4 2 2 3" xfId="2247"/>
    <cellStyle name="40% - Accent5 4 2 2 3 2" xfId="3717"/>
    <cellStyle name="40% - Accent5 4 2 2 3 2 2" xfId="6846"/>
    <cellStyle name="40% - Accent5 4 2 2 3 2 2 2" xfId="13088"/>
    <cellStyle name="40% - Accent5 4 2 2 3 2 2 3" xfId="19243"/>
    <cellStyle name="40% - Accent5 4 2 2 3 2 2 4" xfId="25370"/>
    <cellStyle name="40% - Accent5 4 2 2 3 2 3" xfId="10001"/>
    <cellStyle name="40% - Accent5 4 2 2 3 2 4" xfId="16166"/>
    <cellStyle name="40% - Accent5 4 2 2 3 2 5" xfId="22294"/>
    <cellStyle name="40% - Accent5 4 2 2 3 3" xfId="3716"/>
    <cellStyle name="40% - Accent5 4 2 2 3 3 2" xfId="6845"/>
    <cellStyle name="40% - Accent5 4 2 2 3 3 2 2" xfId="13087"/>
    <cellStyle name="40% - Accent5 4 2 2 3 3 2 3" xfId="19242"/>
    <cellStyle name="40% - Accent5 4 2 2 3 3 2 4" xfId="25369"/>
    <cellStyle name="40% - Accent5 4 2 2 3 3 3" xfId="10000"/>
    <cellStyle name="40% - Accent5 4 2 2 3 3 4" xfId="16165"/>
    <cellStyle name="40% - Accent5 4 2 2 3 3 5" xfId="22293"/>
    <cellStyle name="40% - Accent5 4 2 2 3 4" xfId="5560"/>
    <cellStyle name="40% - Accent5 4 2 2 3 4 2" xfId="11802"/>
    <cellStyle name="40% - Accent5 4 2 2 3 4 3" xfId="17957"/>
    <cellStyle name="40% - Accent5 4 2 2 3 4 4" xfId="24084"/>
    <cellStyle name="40% - Accent5 4 2 2 3 5" xfId="8714"/>
    <cellStyle name="40% - Accent5 4 2 2 3 6" xfId="14634"/>
    <cellStyle name="40% - Accent5 4 2 2 3 7" xfId="20894"/>
    <cellStyle name="40% - Accent5 4 2 2 4" xfId="3718"/>
    <cellStyle name="40% - Accent5 4 2 2 4 2" xfId="6847"/>
    <cellStyle name="40% - Accent5 4 2 2 4 2 2" xfId="13089"/>
    <cellStyle name="40% - Accent5 4 2 2 4 2 3" xfId="19244"/>
    <cellStyle name="40% - Accent5 4 2 2 4 2 4" xfId="25371"/>
    <cellStyle name="40% - Accent5 4 2 2 4 3" xfId="10002"/>
    <cellStyle name="40% - Accent5 4 2 2 4 4" xfId="16167"/>
    <cellStyle name="40% - Accent5 4 2 2 4 5" xfId="22295"/>
    <cellStyle name="40% - Accent5 4 2 2 5" xfId="3719"/>
    <cellStyle name="40% - Accent5 4 2 2 5 2" xfId="6848"/>
    <cellStyle name="40% - Accent5 4 2 2 5 2 2" xfId="13090"/>
    <cellStyle name="40% - Accent5 4 2 2 5 2 3" xfId="19245"/>
    <cellStyle name="40% - Accent5 4 2 2 5 2 4" xfId="25372"/>
    <cellStyle name="40% - Accent5 4 2 2 5 3" xfId="10003"/>
    <cellStyle name="40% - Accent5 4 2 2 5 4" xfId="16168"/>
    <cellStyle name="40% - Accent5 4 2 2 5 5" xfId="22296"/>
    <cellStyle name="40% - Accent5 4 2 2 6" xfId="3713"/>
    <cellStyle name="40% - Accent5 4 2 2 6 2" xfId="6842"/>
    <cellStyle name="40% - Accent5 4 2 2 6 2 2" xfId="13084"/>
    <cellStyle name="40% - Accent5 4 2 2 6 2 3" xfId="19239"/>
    <cellStyle name="40% - Accent5 4 2 2 6 2 4" xfId="25366"/>
    <cellStyle name="40% - Accent5 4 2 2 6 3" xfId="9997"/>
    <cellStyle name="40% - Accent5 4 2 2 6 4" xfId="16162"/>
    <cellStyle name="40% - Accent5 4 2 2 6 5" xfId="22290"/>
    <cellStyle name="40% - Accent5 4 2 2 7" xfId="5378"/>
    <cellStyle name="40% - Accent5 4 2 2 7 2" xfId="11620"/>
    <cellStyle name="40% - Accent5 4 2 2 7 3" xfId="17775"/>
    <cellStyle name="40% - Accent5 4 2 2 7 4" xfId="23902"/>
    <cellStyle name="40% - Accent5 4 2 2 8" xfId="8533"/>
    <cellStyle name="40% - Accent5 4 2 2 9" xfId="14632"/>
    <cellStyle name="40% - Accent5 4 2 3" xfId="2339"/>
    <cellStyle name="40% - Accent5 4 2 3 2" xfId="3721"/>
    <cellStyle name="40% - Accent5 4 2 3 2 2" xfId="6850"/>
    <cellStyle name="40% - Accent5 4 2 3 2 2 2" xfId="13092"/>
    <cellStyle name="40% - Accent5 4 2 3 2 2 3" xfId="19247"/>
    <cellStyle name="40% - Accent5 4 2 3 2 2 4" xfId="25374"/>
    <cellStyle name="40% - Accent5 4 2 3 2 3" xfId="10005"/>
    <cellStyle name="40% - Accent5 4 2 3 2 4" xfId="16170"/>
    <cellStyle name="40% - Accent5 4 2 3 2 5" xfId="22298"/>
    <cellStyle name="40% - Accent5 4 2 3 3" xfId="3720"/>
    <cellStyle name="40% - Accent5 4 2 3 3 2" xfId="6849"/>
    <cellStyle name="40% - Accent5 4 2 3 3 2 2" xfId="13091"/>
    <cellStyle name="40% - Accent5 4 2 3 3 2 3" xfId="19246"/>
    <cellStyle name="40% - Accent5 4 2 3 3 2 4" xfId="25373"/>
    <cellStyle name="40% - Accent5 4 2 3 3 3" xfId="10004"/>
    <cellStyle name="40% - Accent5 4 2 3 3 4" xfId="16169"/>
    <cellStyle name="40% - Accent5 4 2 3 3 5" xfId="22297"/>
    <cellStyle name="40% - Accent5 4 2 3 4" xfId="5652"/>
    <cellStyle name="40% - Accent5 4 2 3 4 2" xfId="11894"/>
    <cellStyle name="40% - Accent5 4 2 3 4 3" xfId="18049"/>
    <cellStyle name="40% - Accent5 4 2 3 4 4" xfId="24176"/>
    <cellStyle name="40% - Accent5 4 2 3 5" xfId="8806"/>
    <cellStyle name="40% - Accent5 4 2 3 6" xfId="14635"/>
    <cellStyle name="40% - Accent5 4 2 3 7" xfId="20986"/>
    <cellStyle name="40% - Accent5 4 2 4" xfId="2172"/>
    <cellStyle name="40% - Accent5 4 2 4 2" xfId="3723"/>
    <cellStyle name="40% - Accent5 4 2 4 2 2" xfId="6852"/>
    <cellStyle name="40% - Accent5 4 2 4 2 2 2" xfId="13094"/>
    <cellStyle name="40% - Accent5 4 2 4 2 2 3" xfId="19249"/>
    <cellStyle name="40% - Accent5 4 2 4 2 2 4" xfId="25376"/>
    <cellStyle name="40% - Accent5 4 2 4 2 3" xfId="10007"/>
    <cellStyle name="40% - Accent5 4 2 4 2 4" xfId="16172"/>
    <cellStyle name="40% - Accent5 4 2 4 2 5" xfId="22300"/>
    <cellStyle name="40% - Accent5 4 2 4 3" xfId="3722"/>
    <cellStyle name="40% - Accent5 4 2 4 3 2" xfId="6851"/>
    <cellStyle name="40% - Accent5 4 2 4 3 2 2" xfId="13093"/>
    <cellStyle name="40% - Accent5 4 2 4 3 2 3" xfId="19248"/>
    <cellStyle name="40% - Accent5 4 2 4 3 2 4" xfId="25375"/>
    <cellStyle name="40% - Accent5 4 2 4 3 3" xfId="10006"/>
    <cellStyle name="40% - Accent5 4 2 4 3 4" xfId="16171"/>
    <cellStyle name="40% - Accent5 4 2 4 3 5" xfId="22299"/>
    <cellStyle name="40% - Accent5 4 2 4 4" xfId="5485"/>
    <cellStyle name="40% - Accent5 4 2 4 4 2" xfId="11727"/>
    <cellStyle name="40% - Accent5 4 2 4 4 3" xfId="17882"/>
    <cellStyle name="40% - Accent5 4 2 4 4 4" xfId="24009"/>
    <cellStyle name="40% - Accent5 4 2 4 5" xfId="8639"/>
    <cellStyle name="40% - Accent5 4 2 4 6" xfId="14636"/>
    <cellStyle name="40% - Accent5 4 2 4 7" xfId="20819"/>
    <cellStyle name="40% - Accent5 4 2 5" xfId="809"/>
    <cellStyle name="40% - Accent5 4 2 5 2" xfId="3725"/>
    <cellStyle name="40% - Accent5 4 2 5 2 2" xfId="6854"/>
    <cellStyle name="40% - Accent5 4 2 5 2 2 2" xfId="13096"/>
    <cellStyle name="40% - Accent5 4 2 5 2 2 3" xfId="19251"/>
    <cellStyle name="40% - Accent5 4 2 5 2 2 4" xfId="25378"/>
    <cellStyle name="40% - Accent5 4 2 5 2 3" xfId="10009"/>
    <cellStyle name="40% - Accent5 4 2 5 2 4" xfId="16174"/>
    <cellStyle name="40% - Accent5 4 2 5 2 5" xfId="22302"/>
    <cellStyle name="40% - Accent5 4 2 5 3" xfId="3724"/>
    <cellStyle name="40% - Accent5 4 2 5 3 2" xfId="6853"/>
    <cellStyle name="40% - Accent5 4 2 5 3 2 2" xfId="13095"/>
    <cellStyle name="40% - Accent5 4 2 5 3 2 3" xfId="19250"/>
    <cellStyle name="40% - Accent5 4 2 5 3 2 4" xfId="25377"/>
    <cellStyle name="40% - Accent5 4 2 5 3 3" xfId="10008"/>
    <cellStyle name="40% - Accent5 4 2 5 3 4" xfId="16173"/>
    <cellStyle name="40% - Accent5 4 2 5 3 5" xfId="22301"/>
    <cellStyle name="40% - Accent5 4 2 5 4" xfId="5158"/>
    <cellStyle name="40% - Accent5 4 2 5 4 2" xfId="11401"/>
    <cellStyle name="40% - Accent5 4 2 5 4 3" xfId="17556"/>
    <cellStyle name="40% - Accent5 4 2 5 4 4" xfId="23683"/>
    <cellStyle name="40% - Accent5 4 2 5 5" xfId="8315"/>
    <cellStyle name="40% - Accent5 4 2 5 6" xfId="14637"/>
    <cellStyle name="40% - Accent5 4 2 5 7" xfId="20498"/>
    <cellStyle name="40% - Accent5 4 2 6" xfId="256"/>
    <cellStyle name="40% - Accent5 4 2 6 2" xfId="3727"/>
    <cellStyle name="40% - Accent5 4 2 6 2 2" xfId="6856"/>
    <cellStyle name="40% - Accent5 4 2 6 2 2 2" xfId="13098"/>
    <cellStyle name="40% - Accent5 4 2 6 2 2 3" xfId="19253"/>
    <cellStyle name="40% - Accent5 4 2 6 2 2 4" xfId="25380"/>
    <cellStyle name="40% - Accent5 4 2 6 2 3" xfId="10011"/>
    <cellStyle name="40% - Accent5 4 2 6 2 4" xfId="16176"/>
    <cellStyle name="40% - Accent5 4 2 6 2 5" xfId="22304"/>
    <cellStyle name="40% - Accent5 4 2 6 3" xfId="3726"/>
    <cellStyle name="40% - Accent5 4 2 6 3 2" xfId="6855"/>
    <cellStyle name="40% - Accent5 4 2 6 3 2 2" xfId="13097"/>
    <cellStyle name="40% - Accent5 4 2 6 3 2 3" xfId="19252"/>
    <cellStyle name="40% - Accent5 4 2 6 3 2 4" xfId="25379"/>
    <cellStyle name="40% - Accent5 4 2 6 3 3" xfId="10010"/>
    <cellStyle name="40% - Accent5 4 2 6 3 4" xfId="16175"/>
    <cellStyle name="40% - Accent5 4 2 6 3 5" xfId="22303"/>
    <cellStyle name="40% - Accent5 4 2 6 4" xfId="5036"/>
    <cellStyle name="40% - Accent5 4 2 6 4 2" xfId="11279"/>
    <cellStyle name="40% - Accent5 4 2 6 4 3" xfId="17434"/>
    <cellStyle name="40% - Accent5 4 2 6 4 4" xfId="23561"/>
    <cellStyle name="40% - Accent5 4 2 6 5" xfId="8194"/>
    <cellStyle name="40% - Accent5 4 2 6 6" xfId="14638"/>
    <cellStyle name="40% - Accent5 4 2 6 7" xfId="21190"/>
    <cellStyle name="40% - Accent5 4 2 7" xfId="3728"/>
    <cellStyle name="40% - Accent5 4 2 7 2" xfId="6857"/>
    <cellStyle name="40% - Accent5 4 2 7 2 2" xfId="13099"/>
    <cellStyle name="40% - Accent5 4 2 7 2 3" xfId="19254"/>
    <cellStyle name="40% - Accent5 4 2 7 2 4" xfId="25381"/>
    <cellStyle name="40% - Accent5 4 2 7 3" xfId="10012"/>
    <cellStyle name="40% - Accent5 4 2 7 4" xfId="16177"/>
    <cellStyle name="40% - Accent5 4 2 7 5" xfId="22305"/>
    <cellStyle name="40% - Accent5 4 2 8" xfId="3729"/>
    <cellStyle name="40% - Accent5 4 2 8 2" xfId="6858"/>
    <cellStyle name="40% - Accent5 4 2 8 2 2" xfId="13100"/>
    <cellStyle name="40% - Accent5 4 2 8 2 3" xfId="19255"/>
    <cellStyle name="40% - Accent5 4 2 8 2 4" xfId="25382"/>
    <cellStyle name="40% - Accent5 4 2 8 3" xfId="10013"/>
    <cellStyle name="40% - Accent5 4 2 8 4" xfId="16178"/>
    <cellStyle name="40% - Accent5 4 2 8 5" xfId="22306"/>
    <cellStyle name="40% - Accent5 4 2 9" xfId="3712"/>
    <cellStyle name="40% - Accent5 4 2 9 2" xfId="6841"/>
    <cellStyle name="40% - Accent5 4 2 9 2 2" xfId="13083"/>
    <cellStyle name="40% - Accent5 4 2 9 2 3" xfId="19238"/>
    <cellStyle name="40% - Accent5 4 2 9 2 4" xfId="25365"/>
    <cellStyle name="40% - Accent5 4 2 9 3" xfId="9996"/>
    <cellStyle name="40% - Accent5 4 2 9 4" xfId="16161"/>
    <cellStyle name="40% - Accent5 4 2 9 5" xfId="22289"/>
    <cellStyle name="40% - Accent5 5" xfId="476"/>
    <cellStyle name="40% - Accent5 5 2" xfId="3731"/>
    <cellStyle name="40% - Accent5 5 2 2" xfId="6860"/>
    <cellStyle name="40% - Accent5 5 2 2 2" xfId="13102"/>
    <cellStyle name="40% - Accent5 5 2 2 3" xfId="19257"/>
    <cellStyle name="40% - Accent5 5 2 2 4" xfId="25384"/>
    <cellStyle name="40% - Accent5 5 2 3" xfId="10015"/>
    <cellStyle name="40% - Accent5 5 2 4" xfId="16180"/>
    <cellStyle name="40% - Accent5 5 2 5" xfId="22308"/>
    <cellStyle name="40% - Accent5 5 3" xfId="3732"/>
    <cellStyle name="40% - Accent5 5 3 2" xfId="6861"/>
    <cellStyle name="40% - Accent5 5 3 2 2" xfId="13103"/>
    <cellStyle name="40% - Accent5 5 3 2 3" xfId="19258"/>
    <cellStyle name="40% - Accent5 5 3 2 4" xfId="25385"/>
    <cellStyle name="40% - Accent5 5 3 3" xfId="10016"/>
    <cellStyle name="40% - Accent5 5 3 4" xfId="16181"/>
    <cellStyle name="40% - Accent5 5 3 5" xfId="22309"/>
    <cellStyle name="40% - Accent5 5 4" xfId="3730"/>
    <cellStyle name="40% - Accent5 5 4 2" xfId="6859"/>
    <cellStyle name="40% - Accent5 5 4 2 2" xfId="13101"/>
    <cellStyle name="40% - Accent5 5 4 2 3" xfId="19256"/>
    <cellStyle name="40% - Accent5 5 4 2 4" xfId="25383"/>
    <cellStyle name="40% - Accent5 5 4 3" xfId="10014"/>
    <cellStyle name="40% - Accent5 5 4 4" xfId="16179"/>
    <cellStyle name="40% - Accent5 5 4 5" xfId="22307"/>
    <cellStyle name="40% - Accent5 5 5" xfId="5094"/>
    <cellStyle name="40% - Accent5 5 5 2" xfId="11337"/>
    <cellStyle name="40% - Accent5 5 5 3" xfId="17492"/>
    <cellStyle name="40% - Accent5 5 5 4" xfId="23619"/>
    <cellStyle name="40% - Accent5 5 6" xfId="8253"/>
    <cellStyle name="40% - Accent5 5 7" xfId="14639"/>
    <cellStyle name="40% - Accent5 5 8" xfId="20439"/>
    <cellStyle name="40% - Accent5 6" xfId="198"/>
    <cellStyle name="40% - Accent5 6 2" xfId="3734"/>
    <cellStyle name="40% - Accent5 6 2 2" xfId="6863"/>
    <cellStyle name="40% - Accent5 6 2 2 2" xfId="13105"/>
    <cellStyle name="40% - Accent5 6 2 2 3" xfId="19260"/>
    <cellStyle name="40% - Accent5 6 2 2 4" xfId="25387"/>
    <cellStyle name="40% - Accent5 6 2 3" xfId="10018"/>
    <cellStyle name="40% - Accent5 6 2 4" xfId="16183"/>
    <cellStyle name="40% - Accent5 6 2 5" xfId="22311"/>
    <cellStyle name="40% - Accent5 6 3" xfId="3733"/>
    <cellStyle name="40% - Accent5 6 3 2" xfId="6862"/>
    <cellStyle name="40% - Accent5 6 3 2 2" xfId="13104"/>
    <cellStyle name="40% - Accent5 6 3 2 3" xfId="19259"/>
    <cellStyle name="40% - Accent5 6 3 2 4" xfId="25386"/>
    <cellStyle name="40% - Accent5 6 3 3" xfId="10017"/>
    <cellStyle name="40% - Accent5 6 3 4" xfId="16182"/>
    <cellStyle name="40% - Accent5 6 3 5" xfId="22310"/>
    <cellStyle name="40% - Accent5 6 4" xfId="4979"/>
    <cellStyle name="40% - Accent5 6 4 2" xfId="11222"/>
    <cellStyle name="40% - Accent5 6 4 3" xfId="17377"/>
    <cellStyle name="40% - Accent5 6 4 4" xfId="23504"/>
    <cellStyle name="40% - Accent5 6 5" xfId="8137"/>
    <cellStyle name="40% - Accent5 6 6" xfId="15102"/>
    <cellStyle name="40% - Accent5 6 7" xfId="21230"/>
    <cellStyle name="40% - Accent5 7" xfId="3735"/>
    <cellStyle name="40% - Accent5 7 2" xfId="6864"/>
    <cellStyle name="40% - Accent5 7 2 2" xfId="13106"/>
    <cellStyle name="40% - Accent5 7 2 3" xfId="19261"/>
    <cellStyle name="40% - Accent5 7 2 4" xfId="25388"/>
    <cellStyle name="40% - Accent5 7 3" xfId="10019"/>
    <cellStyle name="40% - Accent5 7 4" xfId="16184"/>
    <cellStyle name="40% - Accent5 7 5" xfId="22312"/>
    <cellStyle name="40% - Accent5 8" xfId="4859"/>
    <cellStyle name="40% - Accent5 8 2" xfId="7904"/>
    <cellStyle name="40% - Accent5 8 2 2" xfId="14146"/>
    <cellStyle name="40% - Accent5 8 2 3" xfId="20301"/>
    <cellStyle name="40% - Accent5 8 2 4" xfId="26428"/>
    <cellStyle name="40% - Accent5 8 3" xfId="11115"/>
    <cellStyle name="40% - Accent5 8 4" xfId="17270"/>
    <cellStyle name="40% - Accent5 8 5" xfId="23397"/>
    <cellStyle name="40% - Accent5 9" xfId="4885"/>
    <cellStyle name="40% - Accent5 9 2" xfId="11131"/>
    <cellStyle name="40% - Accent5 9 3" xfId="17286"/>
    <cellStyle name="40% - Accent5 9 4" xfId="23413"/>
    <cellStyle name="40% - Accent6 10" xfId="15076"/>
    <cellStyle name="40% - Accent6 11" xfId="20326"/>
    <cellStyle name="40% - Accent6 2" xfId="98"/>
    <cellStyle name="40% - Accent6 2 10" xfId="3736"/>
    <cellStyle name="40% - Accent6 2 10 2" xfId="6865"/>
    <cellStyle name="40% - Accent6 2 10 2 2" xfId="13107"/>
    <cellStyle name="40% - Accent6 2 10 2 3" xfId="19262"/>
    <cellStyle name="40% - Accent6 2 10 2 4" xfId="25389"/>
    <cellStyle name="40% - Accent6 2 10 3" xfId="10020"/>
    <cellStyle name="40% - Accent6 2 10 4" xfId="16185"/>
    <cellStyle name="40% - Accent6 2 10 5" xfId="22313"/>
    <cellStyle name="40% - Accent6 2 11" xfId="4945"/>
    <cellStyle name="40% - Accent6 2 11 2" xfId="11189"/>
    <cellStyle name="40% - Accent6 2 11 3" xfId="17344"/>
    <cellStyle name="40% - Accent6 2 11 4" xfId="23471"/>
    <cellStyle name="40% - Accent6 2 12" xfId="8103"/>
    <cellStyle name="40% - Accent6 2 13" xfId="14640"/>
    <cellStyle name="40% - Accent6 2 14" xfId="20383"/>
    <cellStyle name="40% - Accent6 2 2" xfId="99"/>
    <cellStyle name="40% - Accent6 2 2 10" xfId="4946"/>
    <cellStyle name="40% - Accent6 2 2 10 2" xfId="11190"/>
    <cellStyle name="40% - Accent6 2 2 10 3" xfId="17345"/>
    <cellStyle name="40% - Accent6 2 2 10 4" xfId="23472"/>
    <cellStyle name="40% - Accent6 2 2 11" xfId="8104"/>
    <cellStyle name="40% - Accent6 2 2 12" xfId="14641"/>
    <cellStyle name="40% - Accent6 2 2 13" xfId="20384"/>
    <cellStyle name="40% - Accent6 2 2 2" xfId="2039"/>
    <cellStyle name="40% - Accent6 2 2 2 10" xfId="20715"/>
    <cellStyle name="40% - Accent6 2 2 2 2" xfId="2424"/>
    <cellStyle name="40% - Accent6 2 2 2 2 2" xfId="3740"/>
    <cellStyle name="40% - Accent6 2 2 2 2 2 2" xfId="6869"/>
    <cellStyle name="40% - Accent6 2 2 2 2 2 2 2" xfId="13111"/>
    <cellStyle name="40% - Accent6 2 2 2 2 2 2 3" xfId="19266"/>
    <cellStyle name="40% - Accent6 2 2 2 2 2 2 4" xfId="25393"/>
    <cellStyle name="40% - Accent6 2 2 2 2 2 3" xfId="10024"/>
    <cellStyle name="40% - Accent6 2 2 2 2 2 4" xfId="16189"/>
    <cellStyle name="40% - Accent6 2 2 2 2 2 5" xfId="22317"/>
    <cellStyle name="40% - Accent6 2 2 2 2 3" xfId="3739"/>
    <cellStyle name="40% - Accent6 2 2 2 2 3 2" xfId="6868"/>
    <cellStyle name="40% - Accent6 2 2 2 2 3 2 2" xfId="13110"/>
    <cellStyle name="40% - Accent6 2 2 2 2 3 2 3" xfId="19265"/>
    <cellStyle name="40% - Accent6 2 2 2 2 3 2 4" xfId="25392"/>
    <cellStyle name="40% - Accent6 2 2 2 2 3 3" xfId="10023"/>
    <cellStyle name="40% - Accent6 2 2 2 2 3 4" xfId="16188"/>
    <cellStyle name="40% - Accent6 2 2 2 2 3 5" xfId="22316"/>
    <cellStyle name="40% - Accent6 2 2 2 2 4" xfId="5737"/>
    <cellStyle name="40% - Accent6 2 2 2 2 4 2" xfId="11979"/>
    <cellStyle name="40% - Accent6 2 2 2 2 4 3" xfId="18134"/>
    <cellStyle name="40% - Accent6 2 2 2 2 4 4" xfId="24261"/>
    <cellStyle name="40% - Accent6 2 2 2 2 5" xfId="8891"/>
    <cellStyle name="40% - Accent6 2 2 2 2 6" xfId="14643"/>
    <cellStyle name="40% - Accent6 2 2 2 2 7" xfId="21071"/>
    <cellStyle name="40% - Accent6 2 2 2 3" xfId="2249"/>
    <cellStyle name="40% - Accent6 2 2 2 3 2" xfId="3742"/>
    <cellStyle name="40% - Accent6 2 2 2 3 2 2" xfId="6871"/>
    <cellStyle name="40% - Accent6 2 2 2 3 2 2 2" xfId="13113"/>
    <cellStyle name="40% - Accent6 2 2 2 3 2 2 3" xfId="19268"/>
    <cellStyle name="40% - Accent6 2 2 2 3 2 2 4" xfId="25395"/>
    <cellStyle name="40% - Accent6 2 2 2 3 2 3" xfId="10026"/>
    <cellStyle name="40% - Accent6 2 2 2 3 2 4" xfId="16191"/>
    <cellStyle name="40% - Accent6 2 2 2 3 2 5" xfId="22319"/>
    <cellStyle name="40% - Accent6 2 2 2 3 3" xfId="3741"/>
    <cellStyle name="40% - Accent6 2 2 2 3 3 2" xfId="6870"/>
    <cellStyle name="40% - Accent6 2 2 2 3 3 2 2" xfId="13112"/>
    <cellStyle name="40% - Accent6 2 2 2 3 3 2 3" xfId="19267"/>
    <cellStyle name="40% - Accent6 2 2 2 3 3 2 4" xfId="25394"/>
    <cellStyle name="40% - Accent6 2 2 2 3 3 3" xfId="10025"/>
    <cellStyle name="40% - Accent6 2 2 2 3 3 4" xfId="16190"/>
    <cellStyle name="40% - Accent6 2 2 2 3 3 5" xfId="22318"/>
    <cellStyle name="40% - Accent6 2 2 2 3 4" xfId="5562"/>
    <cellStyle name="40% - Accent6 2 2 2 3 4 2" xfId="11804"/>
    <cellStyle name="40% - Accent6 2 2 2 3 4 3" xfId="17959"/>
    <cellStyle name="40% - Accent6 2 2 2 3 4 4" xfId="24086"/>
    <cellStyle name="40% - Accent6 2 2 2 3 5" xfId="8716"/>
    <cellStyle name="40% - Accent6 2 2 2 3 6" xfId="14644"/>
    <cellStyle name="40% - Accent6 2 2 2 3 7" xfId="20896"/>
    <cellStyle name="40% - Accent6 2 2 2 4" xfId="3743"/>
    <cellStyle name="40% - Accent6 2 2 2 4 2" xfId="6872"/>
    <cellStyle name="40% - Accent6 2 2 2 4 2 2" xfId="13114"/>
    <cellStyle name="40% - Accent6 2 2 2 4 2 3" xfId="19269"/>
    <cellStyle name="40% - Accent6 2 2 2 4 2 4" xfId="25396"/>
    <cellStyle name="40% - Accent6 2 2 2 4 3" xfId="10027"/>
    <cellStyle name="40% - Accent6 2 2 2 4 4" xfId="16192"/>
    <cellStyle name="40% - Accent6 2 2 2 4 5" xfId="22320"/>
    <cellStyle name="40% - Accent6 2 2 2 5" xfId="3744"/>
    <cellStyle name="40% - Accent6 2 2 2 5 2" xfId="6873"/>
    <cellStyle name="40% - Accent6 2 2 2 5 2 2" xfId="13115"/>
    <cellStyle name="40% - Accent6 2 2 2 5 2 3" xfId="19270"/>
    <cellStyle name="40% - Accent6 2 2 2 5 2 4" xfId="25397"/>
    <cellStyle name="40% - Accent6 2 2 2 5 3" xfId="10028"/>
    <cellStyle name="40% - Accent6 2 2 2 5 4" xfId="16193"/>
    <cellStyle name="40% - Accent6 2 2 2 5 5" xfId="22321"/>
    <cellStyle name="40% - Accent6 2 2 2 6" xfId="3738"/>
    <cellStyle name="40% - Accent6 2 2 2 6 2" xfId="6867"/>
    <cellStyle name="40% - Accent6 2 2 2 6 2 2" xfId="13109"/>
    <cellStyle name="40% - Accent6 2 2 2 6 2 3" xfId="19264"/>
    <cellStyle name="40% - Accent6 2 2 2 6 2 4" xfId="25391"/>
    <cellStyle name="40% - Accent6 2 2 2 6 3" xfId="10022"/>
    <cellStyle name="40% - Accent6 2 2 2 6 4" xfId="16187"/>
    <cellStyle name="40% - Accent6 2 2 2 6 5" xfId="22315"/>
    <cellStyle name="40% - Accent6 2 2 2 7" xfId="5380"/>
    <cellStyle name="40% - Accent6 2 2 2 7 2" xfId="11622"/>
    <cellStyle name="40% - Accent6 2 2 2 7 3" xfId="17777"/>
    <cellStyle name="40% - Accent6 2 2 2 7 4" xfId="23904"/>
    <cellStyle name="40% - Accent6 2 2 2 8" xfId="8535"/>
    <cellStyle name="40% - Accent6 2 2 2 9" xfId="14642"/>
    <cellStyle name="40% - Accent6 2 2 3" xfId="2341"/>
    <cellStyle name="40% - Accent6 2 2 3 2" xfId="3746"/>
    <cellStyle name="40% - Accent6 2 2 3 2 2" xfId="6875"/>
    <cellStyle name="40% - Accent6 2 2 3 2 2 2" xfId="13117"/>
    <cellStyle name="40% - Accent6 2 2 3 2 2 3" xfId="19272"/>
    <cellStyle name="40% - Accent6 2 2 3 2 2 4" xfId="25399"/>
    <cellStyle name="40% - Accent6 2 2 3 2 3" xfId="10030"/>
    <cellStyle name="40% - Accent6 2 2 3 2 4" xfId="16195"/>
    <cellStyle name="40% - Accent6 2 2 3 2 5" xfId="22323"/>
    <cellStyle name="40% - Accent6 2 2 3 3" xfId="3745"/>
    <cellStyle name="40% - Accent6 2 2 3 3 2" xfId="6874"/>
    <cellStyle name="40% - Accent6 2 2 3 3 2 2" xfId="13116"/>
    <cellStyle name="40% - Accent6 2 2 3 3 2 3" xfId="19271"/>
    <cellStyle name="40% - Accent6 2 2 3 3 2 4" xfId="25398"/>
    <cellStyle name="40% - Accent6 2 2 3 3 3" xfId="10029"/>
    <cellStyle name="40% - Accent6 2 2 3 3 4" xfId="16194"/>
    <cellStyle name="40% - Accent6 2 2 3 3 5" xfId="22322"/>
    <cellStyle name="40% - Accent6 2 2 3 4" xfId="5654"/>
    <cellStyle name="40% - Accent6 2 2 3 4 2" xfId="11896"/>
    <cellStyle name="40% - Accent6 2 2 3 4 3" xfId="18051"/>
    <cellStyle name="40% - Accent6 2 2 3 4 4" xfId="24178"/>
    <cellStyle name="40% - Accent6 2 2 3 5" xfId="8808"/>
    <cellStyle name="40% - Accent6 2 2 3 6" xfId="14645"/>
    <cellStyle name="40% - Accent6 2 2 3 7" xfId="20988"/>
    <cellStyle name="40% - Accent6 2 2 4" xfId="2174"/>
    <cellStyle name="40% - Accent6 2 2 4 2" xfId="3748"/>
    <cellStyle name="40% - Accent6 2 2 4 2 2" xfId="6877"/>
    <cellStyle name="40% - Accent6 2 2 4 2 2 2" xfId="13119"/>
    <cellStyle name="40% - Accent6 2 2 4 2 2 3" xfId="19274"/>
    <cellStyle name="40% - Accent6 2 2 4 2 2 4" xfId="25401"/>
    <cellStyle name="40% - Accent6 2 2 4 2 3" xfId="10032"/>
    <cellStyle name="40% - Accent6 2 2 4 2 4" xfId="16197"/>
    <cellStyle name="40% - Accent6 2 2 4 2 5" xfId="22325"/>
    <cellStyle name="40% - Accent6 2 2 4 3" xfId="3747"/>
    <cellStyle name="40% - Accent6 2 2 4 3 2" xfId="6876"/>
    <cellStyle name="40% - Accent6 2 2 4 3 2 2" xfId="13118"/>
    <cellStyle name="40% - Accent6 2 2 4 3 2 3" xfId="19273"/>
    <cellStyle name="40% - Accent6 2 2 4 3 2 4" xfId="25400"/>
    <cellStyle name="40% - Accent6 2 2 4 3 3" xfId="10031"/>
    <cellStyle name="40% - Accent6 2 2 4 3 4" xfId="16196"/>
    <cellStyle name="40% - Accent6 2 2 4 3 5" xfId="22324"/>
    <cellStyle name="40% - Accent6 2 2 4 4" xfId="5487"/>
    <cellStyle name="40% - Accent6 2 2 4 4 2" xfId="11729"/>
    <cellStyle name="40% - Accent6 2 2 4 4 3" xfId="17884"/>
    <cellStyle name="40% - Accent6 2 2 4 4 4" xfId="24011"/>
    <cellStyle name="40% - Accent6 2 2 4 5" xfId="8641"/>
    <cellStyle name="40% - Accent6 2 2 4 6" xfId="14646"/>
    <cellStyle name="40% - Accent6 2 2 4 7" xfId="20821"/>
    <cellStyle name="40% - Accent6 2 2 5" xfId="811"/>
    <cellStyle name="40% - Accent6 2 2 5 2" xfId="3750"/>
    <cellStyle name="40% - Accent6 2 2 5 2 2" xfId="6879"/>
    <cellStyle name="40% - Accent6 2 2 5 2 2 2" xfId="13121"/>
    <cellStyle name="40% - Accent6 2 2 5 2 2 3" xfId="19276"/>
    <cellStyle name="40% - Accent6 2 2 5 2 2 4" xfId="25403"/>
    <cellStyle name="40% - Accent6 2 2 5 2 3" xfId="10034"/>
    <cellStyle name="40% - Accent6 2 2 5 2 4" xfId="16199"/>
    <cellStyle name="40% - Accent6 2 2 5 2 5" xfId="22327"/>
    <cellStyle name="40% - Accent6 2 2 5 3" xfId="3749"/>
    <cellStyle name="40% - Accent6 2 2 5 3 2" xfId="6878"/>
    <cellStyle name="40% - Accent6 2 2 5 3 2 2" xfId="13120"/>
    <cellStyle name="40% - Accent6 2 2 5 3 2 3" xfId="19275"/>
    <cellStyle name="40% - Accent6 2 2 5 3 2 4" xfId="25402"/>
    <cellStyle name="40% - Accent6 2 2 5 3 3" xfId="10033"/>
    <cellStyle name="40% - Accent6 2 2 5 3 4" xfId="16198"/>
    <cellStyle name="40% - Accent6 2 2 5 3 5" xfId="22326"/>
    <cellStyle name="40% - Accent6 2 2 5 4" xfId="5160"/>
    <cellStyle name="40% - Accent6 2 2 5 4 2" xfId="11403"/>
    <cellStyle name="40% - Accent6 2 2 5 4 3" xfId="17558"/>
    <cellStyle name="40% - Accent6 2 2 5 4 4" xfId="23685"/>
    <cellStyle name="40% - Accent6 2 2 5 5" xfId="8317"/>
    <cellStyle name="40% - Accent6 2 2 5 6" xfId="14647"/>
    <cellStyle name="40% - Accent6 2 2 5 7" xfId="20500"/>
    <cellStyle name="40% - Accent6 2 2 6" xfId="258"/>
    <cellStyle name="40% - Accent6 2 2 6 2" xfId="3752"/>
    <cellStyle name="40% - Accent6 2 2 6 2 2" xfId="6881"/>
    <cellStyle name="40% - Accent6 2 2 6 2 2 2" xfId="13123"/>
    <cellStyle name="40% - Accent6 2 2 6 2 2 3" xfId="19278"/>
    <cellStyle name="40% - Accent6 2 2 6 2 2 4" xfId="25405"/>
    <cellStyle name="40% - Accent6 2 2 6 2 3" xfId="10036"/>
    <cellStyle name="40% - Accent6 2 2 6 2 4" xfId="16201"/>
    <cellStyle name="40% - Accent6 2 2 6 2 5" xfId="22329"/>
    <cellStyle name="40% - Accent6 2 2 6 3" xfId="3751"/>
    <cellStyle name="40% - Accent6 2 2 6 3 2" xfId="6880"/>
    <cellStyle name="40% - Accent6 2 2 6 3 2 2" xfId="13122"/>
    <cellStyle name="40% - Accent6 2 2 6 3 2 3" xfId="19277"/>
    <cellStyle name="40% - Accent6 2 2 6 3 2 4" xfId="25404"/>
    <cellStyle name="40% - Accent6 2 2 6 3 3" xfId="10035"/>
    <cellStyle name="40% - Accent6 2 2 6 3 4" xfId="16200"/>
    <cellStyle name="40% - Accent6 2 2 6 3 5" xfId="22328"/>
    <cellStyle name="40% - Accent6 2 2 6 4" xfId="5038"/>
    <cellStyle name="40% - Accent6 2 2 6 4 2" xfId="11281"/>
    <cellStyle name="40% - Accent6 2 2 6 4 3" xfId="17436"/>
    <cellStyle name="40% - Accent6 2 2 6 4 4" xfId="23563"/>
    <cellStyle name="40% - Accent6 2 2 6 5" xfId="8196"/>
    <cellStyle name="40% - Accent6 2 2 6 6" xfId="14648"/>
    <cellStyle name="40% - Accent6 2 2 6 7" xfId="21192"/>
    <cellStyle name="40% - Accent6 2 2 7" xfId="3753"/>
    <cellStyle name="40% - Accent6 2 2 7 2" xfId="6882"/>
    <cellStyle name="40% - Accent6 2 2 7 2 2" xfId="13124"/>
    <cellStyle name="40% - Accent6 2 2 7 2 3" xfId="19279"/>
    <cellStyle name="40% - Accent6 2 2 7 2 4" xfId="25406"/>
    <cellStyle name="40% - Accent6 2 2 7 3" xfId="10037"/>
    <cellStyle name="40% - Accent6 2 2 7 4" xfId="16202"/>
    <cellStyle name="40% - Accent6 2 2 7 5" xfId="22330"/>
    <cellStyle name="40% - Accent6 2 2 8" xfId="3754"/>
    <cellStyle name="40% - Accent6 2 2 8 2" xfId="6883"/>
    <cellStyle name="40% - Accent6 2 2 8 2 2" xfId="13125"/>
    <cellStyle name="40% - Accent6 2 2 8 2 3" xfId="19280"/>
    <cellStyle name="40% - Accent6 2 2 8 2 4" xfId="25407"/>
    <cellStyle name="40% - Accent6 2 2 8 3" xfId="10038"/>
    <cellStyle name="40% - Accent6 2 2 8 4" xfId="16203"/>
    <cellStyle name="40% - Accent6 2 2 8 5" xfId="22331"/>
    <cellStyle name="40% - Accent6 2 2 9" xfId="3737"/>
    <cellStyle name="40% - Accent6 2 2 9 2" xfId="6866"/>
    <cellStyle name="40% - Accent6 2 2 9 2 2" xfId="13108"/>
    <cellStyle name="40% - Accent6 2 2 9 2 3" xfId="19263"/>
    <cellStyle name="40% - Accent6 2 2 9 2 4" xfId="25390"/>
    <cellStyle name="40% - Accent6 2 2 9 3" xfId="10021"/>
    <cellStyle name="40% - Accent6 2 2 9 4" xfId="16186"/>
    <cellStyle name="40% - Accent6 2 2 9 5" xfId="22314"/>
    <cellStyle name="40% - Accent6 2 3" xfId="1035"/>
    <cellStyle name="40% - Accent6 2 3 2" xfId="2423"/>
    <cellStyle name="40% - Accent6 2 3 2 2" xfId="3756"/>
    <cellStyle name="40% - Accent6 2 3 2 2 2" xfId="6885"/>
    <cellStyle name="40% - Accent6 2 3 2 2 2 2" xfId="13127"/>
    <cellStyle name="40% - Accent6 2 3 2 2 2 3" xfId="19282"/>
    <cellStyle name="40% - Accent6 2 3 2 2 2 4" xfId="25409"/>
    <cellStyle name="40% - Accent6 2 3 2 2 3" xfId="10040"/>
    <cellStyle name="40% - Accent6 2 3 2 2 4" xfId="16205"/>
    <cellStyle name="40% - Accent6 2 3 2 2 5" xfId="22333"/>
    <cellStyle name="40% - Accent6 2 3 2 3" xfId="3755"/>
    <cellStyle name="40% - Accent6 2 3 2 3 2" xfId="6884"/>
    <cellStyle name="40% - Accent6 2 3 2 3 2 2" xfId="13126"/>
    <cellStyle name="40% - Accent6 2 3 2 3 2 3" xfId="19281"/>
    <cellStyle name="40% - Accent6 2 3 2 3 2 4" xfId="25408"/>
    <cellStyle name="40% - Accent6 2 3 2 3 3" xfId="10039"/>
    <cellStyle name="40% - Accent6 2 3 2 3 4" xfId="16204"/>
    <cellStyle name="40% - Accent6 2 3 2 3 5" xfId="22332"/>
    <cellStyle name="40% - Accent6 2 3 2 4" xfId="5736"/>
    <cellStyle name="40% - Accent6 2 3 2 4 2" xfId="11978"/>
    <cellStyle name="40% - Accent6 2 3 2 4 3" xfId="18133"/>
    <cellStyle name="40% - Accent6 2 3 2 4 4" xfId="24260"/>
    <cellStyle name="40% - Accent6 2 3 2 5" xfId="8890"/>
    <cellStyle name="40% - Accent6 2 3 2 6" xfId="14649"/>
    <cellStyle name="40% - Accent6 2 3 2 7" xfId="21070"/>
    <cellStyle name="40% - Accent6 2 3 3" xfId="2248"/>
    <cellStyle name="40% - Accent6 2 3 3 2" xfId="3758"/>
    <cellStyle name="40% - Accent6 2 3 3 2 2" xfId="6887"/>
    <cellStyle name="40% - Accent6 2 3 3 2 2 2" xfId="13129"/>
    <cellStyle name="40% - Accent6 2 3 3 2 2 3" xfId="19284"/>
    <cellStyle name="40% - Accent6 2 3 3 2 2 4" xfId="25411"/>
    <cellStyle name="40% - Accent6 2 3 3 2 3" xfId="10042"/>
    <cellStyle name="40% - Accent6 2 3 3 2 4" xfId="16207"/>
    <cellStyle name="40% - Accent6 2 3 3 2 5" xfId="22335"/>
    <cellStyle name="40% - Accent6 2 3 3 3" xfId="3757"/>
    <cellStyle name="40% - Accent6 2 3 3 3 2" xfId="6886"/>
    <cellStyle name="40% - Accent6 2 3 3 3 2 2" xfId="13128"/>
    <cellStyle name="40% - Accent6 2 3 3 3 2 3" xfId="19283"/>
    <cellStyle name="40% - Accent6 2 3 3 3 2 4" xfId="25410"/>
    <cellStyle name="40% - Accent6 2 3 3 3 3" xfId="10041"/>
    <cellStyle name="40% - Accent6 2 3 3 3 4" xfId="16206"/>
    <cellStyle name="40% - Accent6 2 3 3 3 5" xfId="22334"/>
    <cellStyle name="40% - Accent6 2 3 3 4" xfId="5561"/>
    <cellStyle name="40% - Accent6 2 3 3 4 2" xfId="11803"/>
    <cellStyle name="40% - Accent6 2 3 3 4 3" xfId="17958"/>
    <cellStyle name="40% - Accent6 2 3 3 4 4" xfId="24085"/>
    <cellStyle name="40% - Accent6 2 3 3 5" xfId="8715"/>
    <cellStyle name="40% - Accent6 2 3 3 6" xfId="14650"/>
    <cellStyle name="40% - Accent6 2 3 3 7" xfId="20895"/>
    <cellStyle name="40% - Accent6 2 3 4" xfId="2038"/>
    <cellStyle name="40% - Accent6 2 3 4 2" xfId="3760"/>
    <cellStyle name="40% - Accent6 2 3 4 2 2" xfId="6889"/>
    <cellStyle name="40% - Accent6 2 3 4 2 2 2" xfId="13131"/>
    <cellStyle name="40% - Accent6 2 3 4 2 2 3" xfId="19286"/>
    <cellStyle name="40% - Accent6 2 3 4 2 2 4" xfId="25413"/>
    <cellStyle name="40% - Accent6 2 3 4 2 3" xfId="10044"/>
    <cellStyle name="40% - Accent6 2 3 4 2 4" xfId="16209"/>
    <cellStyle name="40% - Accent6 2 3 4 2 5" xfId="22337"/>
    <cellStyle name="40% - Accent6 2 3 4 3" xfId="3759"/>
    <cellStyle name="40% - Accent6 2 3 4 3 2" xfId="6888"/>
    <cellStyle name="40% - Accent6 2 3 4 3 2 2" xfId="13130"/>
    <cellStyle name="40% - Accent6 2 3 4 3 2 3" xfId="19285"/>
    <cellStyle name="40% - Accent6 2 3 4 3 2 4" xfId="25412"/>
    <cellStyle name="40% - Accent6 2 3 4 3 3" xfId="10043"/>
    <cellStyle name="40% - Accent6 2 3 4 3 4" xfId="16208"/>
    <cellStyle name="40% - Accent6 2 3 4 3 5" xfId="22336"/>
    <cellStyle name="40% - Accent6 2 3 4 4" xfId="5379"/>
    <cellStyle name="40% - Accent6 2 3 4 4 2" xfId="11621"/>
    <cellStyle name="40% - Accent6 2 3 4 4 3" xfId="17776"/>
    <cellStyle name="40% - Accent6 2 3 4 4 4" xfId="23903"/>
    <cellStyle name="40% - Accent6 2 3 4 5" xfId="8534"/>
    <cellStyle name="40% - Accent6 2 3 4 6" xfId="14651"/>
    <cellStyle name="40% - Accent6 2 3 4 7" xfId="20714"/>
    <cellStyle name="40% - Accent6 2 3 5" xfId="3761"/>
    <cellStyle name="40% - Accent6 2 3 6" xfId="3762"/>
    <cellStyle name="40% - Accent6 2 3 6 2" xfId="6890"/>
    <cellStyle name="40% - Accent6 2 3 6 2 2" xfId="13132"/>
    <cellStyle name="40% - Accent6 2 3 6 2 3" xfId="19287"/>
    <cellStyle name="40% - Accent6 2 3 6 2 4" xfId="25414"/>
    <cellStyle name="40% - Accent6 2 3 6 3" xfId="10045"/>
    <cellStyle name="40% - Accent6 2 3 6 4" xfId="16210"/>
    <cellStyle name="40% - Accent6 2 3 6 5" xfId="22338"/>
    <cellStyle name="40% - Accent6 2 4" xfId="2340"/>
    <cellStyle name="40% - Accent6 2 4 2" xfId="3764"/>
    <cellStyle name="40% - Accent6 2 4 2 2" xfId="6892"/>
    <cellStyle name="40% - Accent6 2 4 2 2 2" xfId="13134"/>
    <cellStyle name="40% - Accent6 2 4 2 2 3" xfId="19289"/>
    <cellStyle name="40% - Accent6 2 4 2 2 4" xfId="25416"/>
    <cellStyle name="40% - Accent6 2 4 2 3" xfId="10047"/>
    <cellStyle name="40% - Accent6 2 4 2 4" xfId="16212"/>
    <cellStyle name="40% - Accent6 2 4 2 5" xfId="22340"/>
    <cellStyle name="40% - Accent6 2 4 3" xfId="3763"/>
    <cellStyle name="40% - Accent6 2 4 3 2" xfId="6891"/>
    <cellStyle name="40% - Accent6 2 4 3 2 2" xfId="13133"/>
    <cellStyle name="40% - Accent6 2 4 3 2 3" xfId="19288"/>
    <cellStyle name="40% - Accent6 2 4 3 2 4" xfId="25415"/>
    <cellStyle name="40% - Accent6 2 4 3 3" xfId="10046"/>
    <cellStyle name="40% - Accent6 2 4 3 4" xfId="16211"/>
    <cellStyle name="40% - Accent6 2 4 3 5" xfId="22339"/>
    <cellStyle name="40% - Accent6 2 4 4" xfId="5653"/>
    <cellStyle name="40% - Accent6 2 4 4 2" xfId="11895"/>
    <cellStyle name="40% - Accent6 2 4 4 3" xfId="18050"/>
    <cellStyle name="40% - Accent6 2 4 4 4" xfId="24177"/>
    <cellStyle name="40% - Accent6 2 4 5" xfId="8807"/>
    <cellStyle name="40% - Accent6 2 4 6" xfId="14652"/>
    <cellStyle name="40% - Accent6 2 4 7" xfId="20987"/>
    <cellStyle name="40% - Accent6 2 5" xfId="2173"/>
    <cellStyle name="40% - Accent6 2 5 2" xfId="3766"/>
    <cellStyle name="40% - Accent6 2 5 2 2" xfId="6894"/>
    <cellStyle name="40% - Accent6 2 5 2 2 2" xfId="13136"/>
    <cellStyle name="40% - Accent6 2 5 2 2 3" xfId="19291"/>
    <cellStyle name="40% - Accent6 2 5 2 2 4" xfId="25418"/>
    <cellStyle name="40% - Accent6 2 5 2 3" xfId="10049"/>
    <cellStyle name="40% - Accent6 2 5 2 4" xfId="16214"/>
    <cellStyle name="40% - Accent6 2 5 2 5" xfId="22342"/>
    <cellStyle name="40% - Accent6 2 5 3" xfId="3765"/>
    <cellStyle name="40% - Accent6 2 5 3 2" xfId="6893"/>
    <cellStyle name="40% - Accent6 2 5 3 2 2" xfId="13135"/>
    <cellStyle name="40% - Accent6 2 5 3 2 3" xfId="19290"/>
    <cellStyle name="40% - Accent6 2 5 3 2 4" xfId="25417"/>
    <cellStyle name="40% - Accent6 2 5 3 3" xfId="10048"/>
    <cellStyle name="40% - Accent6 2 5 3 4" xfId="16213"/>
    <cellStyle name="40% - Accent6 2 5 3 5" xfId="22341"/>
    <cellStyle name="40% - Accent6 2 5 4" xfId="5486"/>
    <cellStyle name="40% - Accent6 2 5 4 2" xfId="11728"/>
    <cellStyle name="40% - Accent6 2 5 4 3" xfId="17883"/>
    <cellStyle name="40% - Accent6 2 5 4 4" xfId="24010"/>
    <cellStyle name="40% - Accent6 2 5 5" xfId="8640"/>
    <cellStyle name="40% - Accent6 2 5 6" xfId="14653"/>
    <cellStyle name="40% - Accent6 2 5 7" xfId="20820"/>
    <cellStyle name="40% - Accent6 2 6" xfId="810"/>
    <cellStyle name="40% - Accent6 2 6 2" xfId="3768"/>
    <cellStyle name="40% - Accent6 2 6 2 2" xfId="6896"/>
    <cellStyle name="40% - Accent6 2 6 2 2 2" xfId="13138"/>
    <cellStyle name="40% - Accent6 2 6 2 2 3" xfId="19293"/>
    <cellStyle name="40% - Accent6 2 6 2 2 4" xfId="25420"/>
    <cellStyle name="40% - Accent6 2 6 2 3" xfId="10051"/>
    <cellStyle name="40% - Accent6 2 6 2 4" xfId="16216"/>
    <cellStyle name="40% - Accent6 2 6 2 5" xfId="22344"/>
    <cellStyle name="40% - Accent6 2 6 3" xfId="3767"/>
    <cellStyle name="40% - Accent6 2 6 3 2" xfId="6895"/>
    <cellStyle name="40% - Accent6 2 6 3 2 2" xfId="13137"/>
    <cellStyle name="40% - Accent6 2 6 3 2 3" xfId="19292"/>
    <cellStyle name="40% - Accent6 2 6 3 2 4" xfId="25419"/>
    <cellStyle name="40% - Accent6 2 6 3 3" xfId="10050"/>
    <cellStyle name="40% - Accent6 2 6 3 4" xfId="16215"/>
    <cellStyle name="40% - Accent6 2 6 3 5" xfId="22343"/>
    <cellStyle name="40% - Accent6 2 6 4" xfId="5159"/>
    <cellStyle name="40% - Accent6 2 6 4 2" xfId="11402"/>
    <cellStyle name="40% - Accent6 2 6 4 3" xfId="17557"/>
    <cellStyle name="40% - Accent6 2 6 4 4" xfId="23684"/>
    <cellStyle name="40% - Accent6 2 6 5" xfId="8316"/>
    <cellStyle name="40% - Accent6 2 6 6" xfId="14654"/>
    <cellStyle name="40% - Accent6 2 6 7" xfId="20499"/>
    <cellStyle name="40% - Accent6 2 7" xfId="257"/>
    <cellStyle name="40% - Accent6 2 7 2" xfId="3770"/>
    <cellStyle name="40% - Accent6 2 7 2 2" xfId="6898"/>
    <cellStyle name="40% - Accent6 2 7 2 2 2" xfId="13140"/>
    <cellStyle name="40% - Accent6 2 7 2 2 3" xfId="19295"/>
    <cellStyle name="40% - Accent6 2 7 2 2 4" xfId="25422"/>
    <cellStyle name="40% - Accent6 2 7 2 3" xfId="10053"/>
    <cellStyle name="40% - Accent6 2 7 2 4" xfId="16218"/>
    <cellStyle name="40% - Accent6 2 7 2 5" xfId="22346"/>
    <cellStyle name="40% - Accent6 2 7 3" xfId="3769"/>
    <cellStyle name="40% - Accent6 2 7 3 2" xfId="6897"/>
    <cellStyle name="40% - Accent6 2 7 3 2 2" xfId="13139"/>
    <cellStyle name="40% - Accent6 2 7 3 2 3" xfId="19294"/>
    <cellStyle name="40% - Accent6 2 7 3 2 4" xfId="25421"/>
    <cellStyle name="40% - Accent6 2 7 3 3" xfId="10052"/>
    <cellStyle name="40% - Accent6 2 7 3 4" xfId="16217"/>
    <cellStyle name="40% - Accent6 2 7 3 5" xfId="22345"/>
    <cellStyle name="40% - Accent6 2 7 4" xfId="5037"/>
    <cellStyle name="40% - Accent6 2 7 4 2" xfId="11280"/>
    <cellStyle name="40% - Accent6 2 7 4 3" xfId="17435"/>
    <cellStyle name="40% - Accent6 2 7 4 4" xfId="23562"/>
    <cellStyle name="40% - Accent6 2 7 5" xfId="8195"/>
    <cellStyle name="40% - Accent6 2 7 6" xfId="14655"/>
    <cellStyle name="40% - Accent6 2 7 7" xfId="21191"/>
    <cellStyle name="40% - Accent6 2 8" xfId="3771"/>
    <cellStyle name="40% - Accent6 2 8 2" xfId="6899"/>
    <cellStyle name="40% - Accent6 2 8 2 2" xfId="13141"/>
    <cellStyle name="40% - Accent6 2 8 2 3" xfId="19296"/>
    <cellStyle name="40% - Accent6 2 8 2 4" xfId="25423"/>
    <cellStyle name="40% - Accent6 2 8 3" xfId="10054"/>
    <cellStyle name="40% - Accent6 2 8 4" xfId="16219"/>
    <cellStyle name="40% - Accent6 2 8 5" xfId="22347"/>
    <cellStyle name="40% - Accent6 2 9" xfId="3772"/>
    <cellStyle name="40% - Accent6 2 9 2" xfId="6900"/>
    <cellStyle name="40% - Accent6 2 9 2 2" xfId="13142"/>
    <cellStyle name="40% - Accent6 2 9 2 3" xfId="19297"/>
    <cellStyle name="40% - Accent6 2 9 2 4" xfId="25424"/>
    <cellStyle name="40% - Accent6 2 9 3" xfId="10055"/>
    <cellStyle name="40% - Accent6 2 9 4" xfId="16220"/>
    <cellStyle name="40% - Accent6 2 9 5" xfId="22348"/>
    <cellStyle name="40% - Accent6 3" xfId="100"/>
    <cellStyle name="40% - Accent6 3 10" xfId="3773"/>
    <cellStyle name="40% - Accent6 3 10 2" xfId="6901"/>
    <cellStyle name="40% - Accent6 3 10 2 2" xfId="13143"/>
    <cellStyle name="40% - Accent6 3 10 2 3" xfId="19298"/>
    <cellStyle name="40% - Accent6 3 10 2 4" xfId="25425"/>
    <cellStyle name="40% - Accent6 3 10 3" xfId="10056"/>
    <cellStyle name="40% - Accent6 3 10 4" xfId="16221"/>
    <cellStyle name="40% - Accent6 3 10 5" xfId="22349"/>
    <cellStyle name="40% - Accent6 3 11" xfId="4947"/>
    <cellStyle name="40% - Accent6 3 11 2" xfId="11191"/>
    <cellStyle name="40% - Accent6 3 11 3" xfId="17346"/>
    <cellStyle name="40% - Accent6 3 11 4" xfId="23473"/>
    <cellStyle name="40% - Accent6 3 12" xfId="8105"/>
    <cellStyle name="40% - Accent6 3 13" xfId="14656"/>
    <cellStyle name="40% - Accent6 3 14" xfId="20385"/>
    <cellStyle name="40% - Accent6 3 2" xfId="101"/>
    <cellStyle name="40% - Accent6 3 2 10" xfId="4948"/>
    <cellStyle name="40% - Accent6 3 2 10 2" xfId="11192"/>
    <cellStyle name="40% - Accent6 3 2 10 3" xfId="17347"/>
    <cellStyle name="40% - Accent6 3 2 10 4" xfId="23474"/>
    <cellStyle name="40% - Accent6 3 2 11" xfId="8106"/>
    <cellStyle name="40% - Accent6 3 2 12" xfId="14657"/>
    <cellStyle name="40% - Accent6 3 2 13" xfId="20386"/>
    <cellStyle name="40% - Accent6 3 2 2" xfId="2041"/>
    <cellStyle name="40% - Accent6 3 2 2 10" xfId="20717"/>
    <cellStyle name="40% - Accent6 3 2 2 2" xfId="2426"/>
    <cellStyle name="40% - Accent6 3 2 2 2 2" xfId="3777"/>
    <cellStyle name="40% - Accent6 3 2 2 2 2 2" xfId="6905"/>
    <cellStyle name="40% - Accent6 3 2 2 2 2 2 2" xfId="13147"/>
    <cellStyle name="40% - Accent6 3 2 2 2 2 2 3" xfId="19302"/>
    <cellStyle name="40% - Accent6 3 2 2 2 2 2 4" xfId="25429"/>
    <cellStyle name="40% - Accent6 3 2 2 2 2 3" xfId="10060"/>
    <cellStyle name="40% - Accent6 3 2 2 2 2 4" xfId="16225"/>
    <cellStyle name="40% - Accent6 3 2 2 2 2 5" xfId="22353"/>
    <cellStyle name="40% - Accent6 3 2 2 2 3" xfId="3776"/>
    <cellStyle name="40% - Accent6 3 2 2 2 3 2" xfId="6904"/>
    <cellStyle name="40% - Accent6 3 2 2 2 3 2 2" xfId="13146"/>
    <cellStyle name="40% - Accent6 3 2 2 2 3 2 3" xfId="19301"/>
    <cellStyle name="40% - Accent6 3 2 2 2 3 2 4" xfId="25428"/>
    <cellStyle name="40% - Accent6 3 2 2 2 3 3" xfId="10059"/>
    <cellStyle name="40% - Accent6 3 2 2 2 3 4" xfId="16224"/>
    <cellStyle name="40% - Accent6 3 2 2 2 3 5" xfId="22352"/>
    <cellStyle name="40% - Accent6 3 2 2 2 4" xfId="5739"/>
    <cellStyle name="40% - Accent6 3 2 2 2 4 2" xfId="11981"/>
    <cellStyle name="40% - Accent6 3 2 2 2 4 3" xfId="18136"/>
    <cellStyle name="40% - Accent6 3 2 2 2 4 4" xfId="24263"/>
    <cellStyle name="40% - Accent6 3 2 2 2 5" xfId="8893"/>
    <cellStyle name="40% - Accent6 3 2 2 2 6" xfId="14659"/>
    <cellStyle name="40% - Accent6 3 2 2 2 7" xfId="21073"/>
    <cellStyle name="40% - Accent6 3 2 2 3" xfId="2251"/>
    <cellStyle name="40% - Accent6 3 2 2 3 2" xfId="3779"/>
    <cellStyle name="40% - Accent6 3 2 2 3 2 2" xfId="6907"/>
    <cellStyle name="40% - Accent6 3 2 2 3 2 2 2" xfId="13149"/>
    <cellStyle name="40% - Accent6 3 2 2 3 2 2 3" xfId="19304"/>
    <cellStyle name="40% - Accent6 3 2 2 3 2 2 4" xfId="25431"/>
    <cellStyle name="40% - Accent6 3 2 2 3 2 3" xfId="10062"/>
    <cellStyle name="40% - Accent6 3 2 2 3 2 4" xfId="16227"/>
    <cellStyle name="40% - Accent6 3 2 2 3 2 5" xfId="22355"/>
    <cellStyle name="40% - Accent6 3 2 2 3 3" xfId="3778"/>
    <cellStyle name="40% - Accent6 3 2 2 3 3 2" xfId="6906"/>
    <cellStyle name="40% - Accent6 3 2 2 3 3 2 2" xfId="13148"/>
    <cellStyle name="40% - Accent6 3 2 2 3 3 2 3" xfId="19303"/>
    <cellStyle name="40% - Accent6 3 2 2 3 3 2 4" xfId="25430"/>
    <cellStyle name="40% - Accent6 3 2 2 3 3 3" xfId="10061"/>
    <cellStyle name="40% - Accent6 3 2 2 3 3 4" xfId="16226"/>
    <cellStyle name="40% - Accent6 3 2 2 3 3 5" xfId="22354"/>
    <cellStyle name="40% - Accent6 3 2 2 3 4" xfId="5564"/>
    <cellStyle name="40% - Accent6 3 2 2 3 4 2" xfId="11806"/>
    <cellStyle name="40% - Accent6 3 2 2 3 4 3" xfId="17961"/>
    <cellStyle name="40% - Accent6 3 2 2 3 4 4" xfId="24088"/>
    <cellStyle name="40% - Accent6 3 2 2 3 5" xfId="8718"/>
    <cellStyle name="40% - Accent6 3 2 2 3 6" xfId="14660"/>
    <cellStyle name="40% - Accent6 3 2 2 3 7" xfId="20898"/>
    <cellStyle name="40% - Accent6 3 2 2 4" xfId="3780"/>
    <cellStyle name="40% - Accent6 3 2 2 4 2" xfId="6908"/>
    <cellStyle name="40% - Accent6 3 2 2 4 2 2" xfId="13150"/>
    <cellStyle name="40% - Accent6 3 2 2 4 2 3" xfId="19305"/>
    <cellStyle name="40% - Accent6 3 2 2 4 2 4" xfId="25432"/>
    <cellStyle name="40% - Accent6 3 2 2 4 3" xfId="10063"/>
    <cellStyle name="40% - Accent6 3 2 2 4 4" xfId="16228"/>
    <cellStyle name="40% - Accent6 3 2 2 4 5" xfId="22356"/>
    <cellStyle name="40% - Accent6 3 2 2 5" xfId="3781"/>
    <cellStyle name="40% - Accent6 3 2 2 5 2" xfId="6909"/>
    <cellStyle name="40% - Accent6 3 2 2 5 2 2" xfId="13151"/>
    <cellStyle name="40% - Accent6 3 2 2 5 2 3" xfId="19306"/>
    <cellStyle name="40% - Accent6 3 2 2 5 2 4" xfId="25433"/>
    <cellStyle name="40% - Accent6 3 2 2 5 3" xfId="10064"/>
    <cellStyle name="40% - Accent6 3 2 2 5 4" xfId="16229"/>
    <cellStyle name="40% - Accent6 3 2 2 5 5" xfId="22357"/>
    <cellStyle name="40% - Accent6 3 2 2 6" xfId="3775"/>
    <cellStyle name="40% - Accent6 3 2 2 6 2" xfId="6903"/>
    <cellStyle name="40% - Accent6 3 2 2 6 2 2" xfId="13145"/>
    <cellStyle name="40% - Accent6 3 2 2 6 2 3" xfId="19300"/>
    <cellStyle name="40% - Accent6 3 2 2 6 2 4" xfId="25427"/>
    <cellStyle name="40% - Accent6 3 2 2 6 3" xfId="10058"/>
    <cellStyle name="40% - Accent6 3 2 2 6 4" xfId="16223"/>
    <cellStyle name="40% - Accent6 3 2 2 6 5" xfId="22351"/>
    <cellStyle name="40% - Accent6 3 2 2 7" xfId="5382"/>
    <cellStyle name="40% - Accent6 3 2 2 7 2" xfId="11624"/>
    <cellStyle name="40% - Accent6 3 2 2 7 3" xfId="17779"/>
    <cellStyle name="40% - Accent6 3 2 2 7 4" xfId="23906"/>
    <cellStyle name="40% - Accent6 3 2 2 8" xfId="8537"/>
    <cellStyle name="40% - Accent6 3 2 2 9" xfId="14658"/>
    <cellStyle name="40% - Accent6 3 2 3" xfId="2343"/>
    <cellStyle name="40% - Accent6 3 2 3 2" xfId="3783"/>
    <cellStyle name="40% - Accent6 3 2 3 2 2" xfId="6911"/>
    <cellStyle name="40% - Accent6 3 2 3 2 2 2" xfId="13153"/>
    <cellStyle name="40% - Accent6 3 2 3 2 2 3" xfId="19308"/>
    <cellStyle name="40% - Accent6 3 2 3 2 2 4" xfId="25435"/>
    <cellStyle name="40% - Accent6 3 2 3 2 3" xfId="10066"/>
    <cellStyle name="40% - Accent6 3 2 3 2 4" xfId="16231"/>
    <cellStyle name="40% - Accent6 3 2 3 2 5" xfId="22359"/>
    <cellStyle name="40% - Accent6 3 2 3 3" xfId="3782"/>
    <cellStyle name="40% - Accent6 3 2 3 3 2" xfId="6910"/>
    <cellStyle name="40% - Accent6 3 2 3 3 2 2" xfId="13152"/>
    <cellStyle name="40% - Accent6 3 2 3 3 2 3" xfId="19307"/>
    <cellStyle name="40% - Accent6 3 2 3 3 2 4" xfId="25434"/>
    <cellStyle name="40% - Accent6 3 2 3 3 3" xfId="10065"/>
    <cellStyle name="40% - Accent6 3 2 3 3 4" xfId="16230"/>
    <cellStyle name="40% - Accent6 3 2 3 3 5" xfId="22358"/>
    <cellStyle name="40% - Accent6 3 2 3 4" xfId="5656"/>
    <cellStyle name="40% - Accent6 3 2 3 4 2" xfId="11898"/>
    <cellStyle name="40% - Accent6 3 2 3 4 3" xfId="18053"/>
    <cellStyle name="40% - Accent6 3 2 3 4 4" xfId="24180"/>
    <cellStyle name="40% - Accent6 3 2 3 5" xfId="8810"/>
    <cellStyle name="40% - Accent6 3 2 3 6" xfId="14661"/>
    <cellStyle name="40% - Accent6 3 2 3 7" xfId="20990"/>
    <cellStyle name="40% - Accent6 3 2 4" xfId="2176"/>
    <cellStyle name="40% - Accent6 3 2 4 2" xfId="3785"/>
    <cellStyle name="40% - Accent6 3 2 4 2 2" xfId="6913"/>
    <cellStyle name="40% - Accent6 3 2 4 2 2 2" xfId="13155"/>
    <cellStyle name="40% - Accent6 3 2 4 2 2 3" xfId="19310"/>
    <cellStyle name="40% - Accent6 3 2 4 2 2 4" xfId="25437"/>
    <cellStyle name="40% - Accent6 3 2 4 2 3" xfId="10068"/>
    <cellStyle name="40% - Accent6 3 2 4 2 4" xfId="16233"/>
    <cellStyle name="40% - Accent6 3 2 4 2 5" xfId="22361"/>
    <cellStyle name="40% - Accent6 3 2 4 3" xfId="3784"/>
    <cellStyle name="40% - Accent6 3 2 4 3 2" xfId="6912"/>
    <cellStyle name="40% - Accent6 3 2 4 3 2 2" xfId="13154"/>
    <cellStyle name="40% - Accent6 3 2 4 3 2 3" xfId="19309"/>
    <cellStyle name="40% - Accent6 3 2 4 3 2 4" xfId="25436"/>
    <cellStyle name="40% - Accent6 3 2 4 3 3" xfId="10067"/>
    <cellStyle name="40% - Accent6 3 2 4 3 4" xfId="16232"/>
    <cellStyle name="40% - Accent6 3 2 4 3 5" xfId="22360"/>
    <cellStyle name="40% - Accent6 3 2 4 4" xfId="5489"/>
    <cellStyle name="40% - Accent6 3 2 4 4 2" xfId="11731"/>
    <cellStyle name="40% - Accent6 3 2 4 4 3" xfId="17886"/>
    <cellStyle name="40% - Accent6 3 2 4 4 4" xfId="24013"/>
    <cellStyle name="40% - Accent6 3 2 4 5" xfId="8643"/>
    <cellStyle name="40% - Accent6 3 2 4 6" xfId="14662"/>
    <cellStyle name="40% - Accent6 3 2 4 7" xfId="20823"/>
    <cellStyle name="40% - Accent6 3 2 5" xfId="813"/>
    <cellStyle name="40% - Accent6 3 2 5 2" xfId="3787"/>
    <cellStyle name="40% - Accent6 3 2 5 2 2" xfId="6915"/>
    <cellStyle name="40% - Accent6 3 2 5 2 2 2" xfId="13157"/>
    <cellStyle name="40% - Accent6 3 2 5 2 2 3" xfId="19312"/>
    <cellStyle name="40% - Accent6 3 2 5 2 2 4" xfId="25439"/>
    <cellStyle name="40% - Accent6 3 2 5 2 3" xfId="10070"/>
    <cellStyle name="40% - Accent6 3 2 5 2 4" xfId="16235"/>
    <cellStyle name="40% - Accent6 3 2 5 2 5" xfId="22363"/>
    <cellStyle name="40% - Accent6 3 2 5 3" xfId="3786"/>
    <cellStyle name="40% - Accent6 3 2 5 3 2" xfId="6914"/>
    <cellStyle name="40% - Accent6 3 2 5 3 2 2" xfId="13156"/>
    <cellStyle name="40% - Accent6 3 2 5 3 2 3" xfId="19311"/>
    <cellStyle name="40% - Accent6 3 2 5 3 2 4" xfId="25438"/>
    <cellStyle name="40% - Accent6 3 2 5 3 3" xfId="10069"/>
    <cellStyle name="40% - Accent6 3 2 5 3 4" xfId="16234"/>
    <cellStyle name="40% - Accent6 3 2 5 3 5" xfId="22362"/>
    <cellStyle name="40% - Accent6 3 2 5 4" xfId="5162"/>
    <cellStyle name="40% - Accent6 3 2 5 4 2" xfId="11405"/>
    <cellStyle name="40% - Accent6 3 2 5 4 3" xfId="17560"/>
    <cellStyle name="40% - Accent6 3 2 5 4 4" xfId="23687"/>
    <cellStyle name="40% - Accent6 3 2 5 5" xfId="8319"/>
    <cellStyle name="40% - Accent6 3 2 5 6" xfId="14663"/>
    <cellStyle name="40% - Accent6 3 2 5 7" xfId="20502"/>
    <cellStyle name="40% - Accent6 3 2 6" xfId="260"/>
    <cellStyle name="40% - Accent6 3 2 6 2" xfId="3789"/>
    <cellStyle name="40% - Accent6 3 2 6 2 2" xfId="6917"/>
    <cellStyle name="40% - Accent6 3 2 6 2 2 2" xfId="13159"/>
    <cellStyle name="40% - Accent6 3 2 6 2 2 3" xfId="19314"/>
    <cellStyle name="40% - Accent6 3 2 6 2 2 4" xfId="25441"/>
    <cellStyle name="40% - Accent6 3 2 6 2 3" xfId="10072"/>
    <cellStyle name="40% - Accent6 3 2 6 2 4" xfId="16237"/>
    <cellStyle name="40% - Accent6 3 2 6 2 5" xfId="22365"/>
    <cellStyle name="40% - Accent6 3 2 6 3" xfId="3788"/>
    <cellStyle name="40% - Accent6 3 2 6 3 2" xfId="6916"/>
    <cellStyle name="40% - Accent6 3 2 6 3 2 2" xfId="13158"/>
    <cellStyle name="40% - Accent6 3 2 6 3 2 3" xfId="19313"/>
    <cellStyle name="40% - Accent6 3 2 6 3 2 4" xfId="25440"/>
    <cellStyle name="40% - Accent6 3 2 6 3 3" xfId="10071"/>
    <cellStyle name="40% - Accent6 3 2 6 3 4" xfId="16236"/>
    <cellStyle name="40% - Accent6 3 2 6 3 5" xfId="22364"/>
    <cellStyle name="40% - Accent6 3 2 6 4" xfId="5040"/>
    <cellStyle name="40% - Accent6 3 2 6 4 2" xfId="11283"/>
    <cellStyle name="40% - Accent6 3 2 6 4 3" xfId="17438"/>
    <cellStyle name="40% - Accent6 3 2 6 4 4" xfId="23565"/>
    <cellStyle name="40% - Accent6 3 2 6 5" xfId="8198"/>
    <cellStyle name="40% - Accent6 3 2 6 6" xfId="14664"/>
    <cellStyle name="40% - Accent6 3 2 6 7" xfId="21194"/>
    <cellStyle name="40% - Accent6 3 2 7" xfId="3790"/>
    <cellStyle name="40% - Accent6 3 2 7 2" xfId="6918"/>
    <cellStyle name="40% - Accent6 3 2 7 2 2" xfId="13160"/>
    <cellStyle name="40% - Accent6 3 2 7 2 3" xfId="19315"/>
    <cellStyle name="40% - Accent6 3 2 7 2 4" xfId="25442"/>
    <cellStyle name="40% - Accent6 3 2 7 3" xfId="10073"/>
    <cellStyle name="40% - Accent6 3 2 7 4" xfId="16238"/>
    <cellStyle name="40% - Accent6 3 2 7 5" xfId="22366"/>
    <cellStyle name="40% - Accent6 3 2 8" xfId="3791"/>
    <cellStyle name="40% - Accent6 3 2 8 2" xfId="6919"/>
    <cellStyle name="40% - Accent6 3 2 8 2 2" xfId="13161"/>
    <cellStyle name="40% - Accent6 3 2 8 2 3" xfId="19316"/>
    <cellStyle name="40% - Accent6 3 2 8 2 4" xfId="25443"/>
    <cellStyle name="40% - Accent6 3 2 8 3" xfId="10074"/>
    <cellStyle name="40% - Accent6 3 2 8 4" xfId="16239"/>
    <cellStyle name="40% - Accent6 3 2 8 5" xfId="22367"/>
    <cellStyle name="40% - Accent6 3 2 9" xfId="3774"/>
    <cellStyle name="40% - Accent6 3 2 9 2" xfId="6902"/>
    <cellStyle name="40% - Accent6 3 2 9 2 2" xfId="13144"/>
    <cellStyle name="40% - Accent6 3 2 9 2 3" xfId="19299"/>
    <cellStyle name="40% - Accent6 3 2 9 2 4" xfId="25426"/>
    <cellStyle name="40% - Accent6 3 2 9 3" xfId="10057"/>
    <cellStyle name="40% - Accent6 3 2 9 4" xfId="16222"/>
    <cellStyle name="40% - Accent6 3 2 9 5" xfId="22350"/>
    <cellStyle name="40% - Accent6 3 3" xfId="2040"/>
    <cellStyle name="40% - Accent6 3 3 10" xfId="20716"/>
    <cellStyle name="40% - Accent6 3 3 2" xfId="2425"/>
    <cellStyle name="40% - Accent6 3 3 2 2" xfId="3794"/>
    <cellStyle name="40% - Accent6 3 3 2 2 2" xfId="6922"/>
    <cellStyle name="40% - Accent6 3 3 2 2 2 2" xfId="13164"/>
    <cellStyle name="40% - Accent6 3 3 2 2 2 3" xfId="19319"/>
    <cellStyle name="40% - Accent6 3 3 2 2 2 4" xfId="25446"/>
    <cellStyle name="40% - Accent6 3 3 2 2 3" xfId="10077"/>
    <cellStyle name="40% - Accent6 3 3 2 2 4" xfId="16242"/>
    <cellStyle name="40% - Accent6 3 3 2 2 5" xfId="22370"/>
    <cellStyle name="40% - Accent6 3 3 2 3" xfId="3793"/>
    <cellStyle name="40% - Accent6 3 3 2 3 2" xfId="6921"/>
    <cellStyle name="40% - Accent6 3 3 2 3 2 2" xfId="13163"/>
    <cellStyle name="40% - Accent6 3 3 2 3 2 3" xfId="19318"/>
    <cellStyle name="40% - Accent6 3 3 2 3 2 4" xfId="25445"/>
    <cellStyle name="40% - Accent6 3 3 2 3 3" xfId="10076"/>
    <cellStyle name="40% - Accent6 3 3 2 3 4" xfId="16241"/>
    <cellStyle name="40% - Accent6 3 3 2 3 5" xfId="22369"/>
    <cellStyle name="40% - Accent6 3 3 2 4" xfId="5738"/>
    <cellStyle name="40% - Accent6 3 3 2 4 2" xfId="11980"/>
    <cellStyle name="40% - Accent6 3 3 2 4 3" xfId="18135"/>
    <cellStyle name="40% - Accent6 3 3 2 4 4" xfId="24262"/>
    <cellStyle name="40% - Accent6 3 3 2 5" xfId="8892"/>
    <cellStyle name="40% - Accent6 3 3 2 6" xfId="14666"/>
    <cellStyle name="40% - Accent6 3 3 2 7" xfId="21072"/>
    <cellStyle name="40% - Accent6 3 3 3" xfId="2250"/>
    <cellStyle name="40% - Accent6 3 3 3 2" xfId="3796"/>
    <cellStyle name="40% - Accent6 3 3 3 2 2" xfId="6924"/>
    <cellStyle name="40% - Accent6 3 3 3 2 2 2" xfId="13166"/>
    <cellStyle name="40% - Accent6 3 3 3 2 2 3" xfId="19321"/>
    <cellStyle name="40% - Accent6 3 3 3 2 2 4" xfId="25448"/>
    <cellStyle name="40% - Accent6 3 3 3 2 3" xfId="10079"/>
    <cellStyle name="40% - Accent6 3 3 3 2 4" xfId="16244"/>
    <cellStyle name="40% - Accent6 3 3 3 2 5" xfId="22372"/>
    <cellStyle name="40% - Accent6 3 3 3 3" xfId="3795"/>
    <cellStyle name="40% - Accent6 3 3 3 3 2" xfId="6923"/>
    <cellStyle name="40% - Accent6 3 3 3 3 2 2" xfId="13165"/>
    <cellStyle name="40% - Accent6 3 3 3 3 2 3" xfId="19320"/>
    <cellStyle name="40% - Accent6 3 3 3 3 2 4" xfId="25447"/>
    <cellStyle name="40% - Accent6 3 3 3 3 3" xfId="10078"/>
    <cellStyle name="40% - Accent6 3 3 3 3 4" xfId="16243"/>
    <cellStyle name="40% - Accent6 3 3 3 3 5" xfId="22371"/>
    <cellStyle name="40% - Accent6 3 3 3 4" xfId="5563"/>
    <cellStyle name="40% - Accent6 3 3 3 4 2" xfId="11805"/>
    <cellStyle name="40% - Accent6 3 3 3 4 3" xfId="17960"/>
    <cellStyle name="40% - Accent6 3 3 3 4 4" xfId="24087"/>
    <cellStyle name="40% - Accent6 3 3 3 5" xfId="8717"/>
    <cellStyle name="40% - Accent6 3 3 3 6" xfId="14667"/>
    <cellStyle name="40% - Accent6 3 3 3 7" xfId="20897"/>
    <cellStyle name="40% - Accent6 3 3 4" xfId="3797"/>
    <cellStyle name="40% - Accent6 3 3 4 2" xfId="6925"/>
    <cellStyle name="40% - Accent6 3 3 4 2 2" xfId="13167"/>
    <cellStyle name="40% - Accent6 3 3 4 2 3" xfId="19322"/>
    <cellStyle name="40% - Accent6 3 3 4 2 4" xfId="25449"/>
    <cellStyle name="40% - Accent6 3 3 4 3" xfId="10080"/>
    <cellStyle name="40% - Accent6 3 3 4 4" xfId="16245"/>
    <cellStyle name="40% - Accent6 3 3 4 5" xfId="22373"/>
    <cellStyle name="40% - Accent6 3 3 5" xfId="3798"/>
    <cellStyle name="40% - Accent6 3 3 5 2" xfId="6926"/>
    <cellStyle name="40% - Accent6 3 3 5 2 2" xfId="13168"/>
    <cellStyle name="40% - Accent6 3 3 5 2 3" xfId="19323"/>
    <cellStyle name="40% - Accent6 3 3 5 2 4" xfId="25450"/>
    <cellStyle name="40% - Accent6 3 3 5 3" xfId="10081"/>
    <cellStyle name="40% - Accent6 3 3 5 4" xfId="16246"/>
    <cellStyle name="40% - Accent6 3 3 5 5" xfId="22374"/>
    <cellStyle name="40% - Accent6 3 3 6" xfId="3792"/>
    <cellStyle name="40% - Accent6 3 3 6 2" xfId="6920"/>
    <cellStyle name="40% - Accent6 3 3 6 2 2" xfId="13162"/>
    <cellStyle name="40% - Accent6 3 3 6 2 3" xfId="19317"/>
    <cellStyle name="40% - Accent6 3 3 6 2 4" xfId="25444"/>
    <cellStyle name="40% - Accent6 3 3 6 3" xfId="10075"/>
    <cellStyle name="40% - Accent6 3 3 6 4" xfId="16240"/>
    <cellStyle name="40% - Accent6 3 3 6 5" xfId="22368"/>
    <cellStyle name="40% - Accent6 3 3 7" xfId="5381"/>
    <cellStyle name="40% - Accent6 3 3 7 2" xfId="11623"/>
    <cellStyle name="40% - Accent6 3 3 7 3" xfId="17778"/>
    <cellStyle name="40% - Accent6 3 3 7 4" xfId="23905"/>
    <cellStyle name="40% - Accent6 3 3 8" xfId="8536"/>
    <cellStyle name="40% - Accent6 3 3 9" xfId="14665"/>
    <cellStyle name="40% - Accent6 3 4" xfId="2342"/>
    <cellStyle name="40% - Accent6 3 4 2" xfId="3800"/>
    <cellStyle name="40% - Accent6 3 4 2 2" xfId="6928"/>
    <cellStyle name="40% - Accent6 3 4 2 2 2" xfId="13170"/>
    <cellStyle name="40% - Accent6 3 4 2 2 3" xfId="19325"/>
    <cellStyle name="40% - Accent6 3 4 2 2 4" xfId="25452"/>
    <cellStyle name="40% - Accent6 3 4 2 3" xfId="10083"/>
    <cellStyle name="40% - Accent6 3 4 2 4" xfId="16248"/>
    <cellStyle name="40% - Accent6 3 4 2 5" xfId="22376"/>
    <cellStyle name="40% - Accent6 3 4 3" xfId="3799"/>
    <cellStyle name="40% - Accent6 3 4 3 2" xfId="6927"/>
    <cellStyle name="40% - Accent6 3 4 3 2 2" xfId="13169"/>
    <cellStyle name="40% - Accent6 3 4 3 2 3" xfId="19324"/>
    <cellStyle name="40% - Accent6 3 4 3 2 4" xfId="25451"/>
    <cellStyle name="40% - Accent6 3 4 3 3" xfId="10082"/>
    <cellStyle name="40% - Accent6 3 4 3 4" xfId="16247"/>
    <cellStyle name="40% - Accent6 3 4 3 5" xfId="22375"/>
    <cellStyle name="40% - Accent6 3 4 4" xfId="5655"/>
    <cellStyle name="40% - Accent6 3 4 4 2" xfId="11897"/>
    <cellStyle name="40% - Accent6 3 4 4 3" xfId="18052"/>
    <cellStyle name="40% - Accent6 3 4 4 4" xfId="24179"/>
    <cellStyle name="40% - Accent6 3 4 5" xfId="8809"/>
    <cellStyle name="40% - Accent6 3 4 6" xfId="14668"/>
    <cellStyle name="40% - Accent6 3 4 7" xfId="20989"/>
    <cellStyle name="40% - Accent6 3 5" xfId="2175"/>
    <cellStyle name="40% - Accent6 3 5 2" xfId="3802"/>
    <cellStyle name="40% - Accent6 3 5 2 2" xfId="6930"/>
    <cellStyle name="40% - Accent6 3 5 2 2 2" xfId="13172"/>
    <cellStyle name="40% - Accent6 3 5 2 2 3" xfId="19327"/>
    <cellStyle name="40% - Accent6 3 5 2 2 4" xfId="25454"/>
    <cellStyle name="40% - Accent6 3 5 2 3" xfId="10085"/>
    <cellStyle name="40% - Accent6 3 5 2 4" xfId="16250"/>
    <cellStyle name="40% - Accent6 3 5 2 5" xfId="22378"/>
    <cellStyle name="40% - Accent6 3 5 3" xfId="3801"/>
    <cellStyle name="40% - Accent6 3 5 3 2" xfId="6929"/>
    <cellStyle name="40% - Accent6 3 5 3 2 2" xfId="13171"/>
    <cellStyle name="40% - Accent6 3 5 3 2 3" xfId="19326"/>
    <cellStyle name="40% - Accent6 3 5 3 2 4" xfId="25453"/>
    <cellStyle name="40% - Accent6 3 5 3 3" xfId="10084"/>
    <cellStyle name="40% - Accent6 3 5 3 4" xfId="16249"/>
    <cellStyle name="40% - Accent6 3 5 3 5" xfId="22377"/>
    <cellStyle name="40% - Accent6 3 5 4" xfId="5488"/>
    <cellStyle name="40% - Accent6 3 5 4 2" xfId="11730"/>
    <cellStyle name="40% - Accent6 3 5 4 3" xfId="17885"/>
    <cellStyle name="40% - Accent6 3 5 4 4" xfId="24012"/>
    <cellStyle name="40% - Accent6 3 5 5" xfId="8642"/>
    <cellStyle name="40% - Accent6 3 5 6" xfId="14669"/>
    <cellStyle name="40% - Accent6 3 5 7" xfId="20822"/>
    <cellStyle name="40% - Accent6 3 6" xfId="812"/>
    <cellStyle name="40% - Accent6 3 6 2" xfId="3804"/>
    <cellStyle name="40% - Accent6 3 6 2 2" xfId="6932"/>
    <cellStyle name="40% - Accent6 3 6 2 2 2" xfId="13174"/>
    <cellStyle name="40% - Accent6 3 6 2 2 3" xfId="19329"/>
    <cellStyle name="40% - Accent6 3 6 2 2 4" xfId="25456"/>
    <cellStyle name="40% - Accent6 3 6 2 3" xfId="10087"/>
    <cellStyle name="40% - Accent6 3 6 2 4" xfId="16252"/>
    <cellStyle name="40% - Accent6 3 6 2 5" xfId="22380"/>
    <cellStyle name="40% - Accent6 3 6 3" xfId="3803"/>
    <cellStyle name="40% - Accent6 3 6 3 2" xfId="6931"/>
    <cellStyle name="40% - Accent6 3 6 3 2 2" xfId="13173"/>
    <cellStyle name="40% - Accent6 3 6 3 2 3" xfId="19328"/>
    <cellStyle name="40% - Accent6 3 6 3 2 4" xfId="25455"/>
    <cellStyle name="40% - Accent6 3 6 3 3" xfId="10086"/>
    <cellStyle name="40% - Accent6 3 6 3 4" xfId="16251"/>
    <cellStyle name="40% - Accent6 3 6 3 5" xfId="22379"/>
    <cellStyle name="40% - Accent6 3 6 4" xfId="5161"/>
    <cellStyle name="40% - Accent6 3 6 4 2" xfId="11404"/>
    <cellStyle name="40% - Accent6 3 6 4 3" xfId="17559"/>
    <cellStyle name="40% - Accent6 3 6 4 4" xfId="23686"/>
    <cellStyle name="40% - Accent6 3 6 5" xfId="8318"/>
    <cellStyle name="40% - Accent6 3 6 6" xfId="14670"/>
    <cellStyle name="40% - Accent6 3 6 7" xfId="20501"/>
    <cellStyle name="40% - Accent6 3 7" xfId="259"/>
    <cellStyle name="40% - Accent6 3 7 2" xfId="3806"/>
    <cellStyle name="40% - Accent6 3 7 2 2" xfId="6934"/>
    <cellStyle name="40% - Accent6 3 7 2 2 2" xfId="13176"/>
    <cellStyle name="40% - Accent6 3 7 2 2 3" xfId="19331"/>
    <cellStyle name="40% - Accent6 3 7 2 2 4" xfId="25458"/>
    <cellStyle name="40% - Accent6 3 7 2 3" xfId="10089"/>
    <cellStyle name="40% - Accent6 3 7 2 4" xfId="16254"/>
    <cellStyle name="40% - Accent6 3 7 2 5" xfId="22382"/>
    <cellStyle name="40% - Accent6 3 7 3" xfId="3805"/>
    <cellStyle name="40% - Accent6 3 7 3 2" xfId="6933"/>
    <cellStyle name="40% - Accent6 3 7 3 2 2" xfId="13175"/>
    <cellStyle name="40% - Accent6 3 7 3 2 3" xfId="19330"/>
    <cellStyle name="40% - Accent6 3 7 3 2 4" xfId="25457"/>
    <cellStyle name="40% - Accent6 3 7 3 3" xfId="10088"/>
    <cellStyle name="40% - Accent6 3 7 3 4" xfId="16253"/>
    <cellStyle name="40% - Accent6 3 7 3 5" xfId="22381"/>
    <cellStyle name="40% - Accent6 3 7 4" xfId="5039"/>
    <cellStyle name="40% - Accent6 3 7 4 2" xfId="11282"/>
    <cellStyle name="40% - Accent6 3 7 4 3" xfId="17437"/>
    <cellStyle name="40% - Accent6 3 7 4 4" xfId="23564"/>
    <cellStyle name="40% - Accent6 3 7 5" xfId="8197"/>
    <cellStyle name="40% - Accent6 3 7 6" xfId="14671"/>
    <cellStyle name="40% - Accent6 3 7 7" xfId="21193"/>
    <cellStyle name="40% - Accent6 3 8" xfId="3807"/>
    <cellStyle name="40% - Accent6 3 8 2" xfId="6935"/>
    <cellStyle name="40% - Accent6 3 8 2 2" xfId="13177"/>
    <cellStyle name="40% - Accent6 3 8 2 3" xfId="19332"/>
    <cellStyle name="40% - Accent6 3 8 2 4" xfId="25459"/>
    <cellStyle name="40% - Accent6 3 8 3" xfId="10090"/>
    <cellStyle name="40% - Accent6 3 8 4" xfId="16255"/>
    <cellStyle name="40% - Accent6 3 8 5" xfId="22383"/>
    <cellStyle name="40% - Accent6 3 9" xfId="3808"/>
    <cellStyle name="40% - Accent6 3 9 2" xfId="6936"/>
    <cellStyle name="40% - Accent6 3 9 2 2" xfId="13178"/>
    <cellStyle name="40% - Accent6 3 9 2 3" xfId="19333"/>
    <cellStyle name="40% - Accent6 3 9 2 4" xfId="25460"/>
    <cellStyle name="40% - Accent6 3 9 3" xfId="10091"/>
    <cellStyle name="40% - Accent6 3 9 4" xfId="16256"/>
    <cellStyle name="40% - Accent6 3 9 5" xfId="22384"/>
    <cellStyle name="40% - Accent6 4" xfId="102"/>
    <cellStyle name="40% - Accent6 4 2" xfId="103"/>
    <cellStyle name="40% - Accent6 4 2 10" xfId="4949"/>
    <cellStyle name="40% - Accent6 4 2 10 2" xfId="11193"/>
    <cellStyle name="40% - Accent6 4 2 10 3" xfId="17348"/>
    <cellStyle name="40% - Accent6 4 2 10 4" xfId="23475"/>
    <cellStyle name="40% - Accent6 4 2 11" xfId="8107"/>
    <cellStyle name="40% - Accent6 4 2 12" xfId="14672"/>
    <cellStyle name="40% - Accent6 4 2 13" xfId="20387"/>
    <cellStyle name="40% - Accent6 4 2 2" xfId="2042"/>
    <cellStyle name="40% - Accent6 4 2 2 10" xfId="20718"/>
    <cellStyle name="40% - Accent6 4 2 2 2" xfId="2427"/>
    <cellStyle name="40% - Accent6 4 2 2 2 2" xfId="3812"/>
    <cellStyle name="40% - Accent6 4 2 2 2 2 2" xfId="6940"/>
    <cellStyle name="40% - Accent6 4 2 2 2 2 2 2" xfId="13182"/>
    <cellStyle name="40% - Accent6 4 2 2 2 2 2 3" xfId="19337"/>
    <cellStyle name="40% - Accent6 4 2 2 2 2 2 4" xfId="25464"/>
    <cellStyle name="40% - Accent6 4 2 2 2 2 3" xfId="10095"/>
    <cellStyle name="40% - Accent6 4 2 2 2 2 4" xfId="16260"/>
    <cellStyle name="40% - Accent6 4 2 2 2 2 5" xfId="22388"/>
    <cellStyle name="40% - Accent6 4 2 2 2 3" xfId="3811"/>
    <cellStyle name="40% - Accent6 4 2 2 2 3 2" xfId="6939"/>
    <cellStyle name="40% - Accent6 4 2 2 2 3 2 2" xfId="13181"/>
    <cellStyle name="40% - Accent6 4 2 2 2 3 2 3" xfId="19336"/>
    <cellStyle name="40% - Accent6 4 2 2 2 3 2 4" xfId="25463"/>
    <cellStyle name="40% - Accent6 4 2 2 2 3 3" xfId="10094"/>
    <cellStyle name="40% - Accent6 4 2 2 2 3 4" xfId="16259"/>
    <cellStyle name="40% - Accent6 4 2 2 2 3 5" xfId="22387"/>
    <cellStyle name="40% - Accent6 4 2 2 2 4" xfId="5740"/>
    <cellStyle name="40% - Accent6 4 2 2 2 4 2" xfId="11982"/>
    <cellStyle name="40% - Accent6 4 2 2 2 4 3" xfId="18137"/>
    <cellStyle name="40% - Accent6 4 2 2 2 4 4" xfId="24264"/>
    <cellStyle name="40% - Accent6 4 2 2 2 5" xfId="8894"/>
    <cellStyle name="40% - Accent6 4 2 2 2 6" xfId="14674"/>
    <cellStyle name="40% - Accent6 4 2 2 2 7" xfId="21074"/>
    <cellStyle name="40% - Accent6 4 2 2 3" xfId="2252"/>
    <cellStyle name="40% - Accent6 4 2 2 3 2" xfId="3814"/>
    <cellStyle name="40% - Accent6 4 2 2 3 2 2" xfId="6942"/>
    <cellStyle name="40% - Accent6 4 2 2 3 2 2 2" xfId="13184"/>
    <cellStyle name="40% - Accent6 4 2 2 3 2 2 3" xfId="19339"/>
    <cellStyle name="40% - Accent6 4 2 2 3 2 2 4" xfId="25466"/>
    <cellStyle name="40% - Accent6 4 2 2 3 2 3" xfId="10097"/>
    <cellStyle name="40% - Accent6 4 2 2 3 2 4" xfId="16262"/>
    <cellStyle name="40% - Accent6 4 2 2 3 2 5" xfId="22390"/>
    <cellStyle name="40% - Accent6 4 2 2 3 3" xfId="3813"/>
    <cellStyle name="40% - Accent6 4 2 2 3 3 2" xfId="6941"/>
    <cellStyle name="40% - Accent6 4 2 2 3 3 2 2" xfId="13183"/>
    <cellStyle name="40% - Accent6 4 2 2 3 3 2 3" xfId="19338"/>
    <cellStyle name="40% - Accent6 4 2 2 3 3 2 4" xfId="25465"/>
    <cellStyle name="40% - Accent6 4 2 2 3 3 3" xfId="10096"/>
    <cellStyle name="40% - Accent6 4 2 2 3 3 4" xfId="16261"/>
    <cellStyle name="40% - Accent6 4 2 2 3 3 5" xfId="22389"/>
    <cellStyle name="40% - Accent6 4 2 2 3 4" xfId="5565"/>
    <cellStyle name="40% - Accent6 4 2 2 3 4 2" xfId="11807"/>
    <cellStyle name="40% - Accent6 4 2 2 3 4 3" xfId="17962"/>
    <cellStyle name="40% - Accent6 4 2 2 3 4 4" xfId="24089"/>
    <cellStyle name="40% - Accent6 4 2 2 3 5" xfId="8719"/>
    <cellStyle name="40% - Accent6 4 2 2 3 6" xfId="14675"/>
    <cellStyle name="40% - Accent6 4 2 2 3 7" xfId="20899"/>
    <cellStyle name="40% - Accent6 4 2 2 4" xfId="3815"/>
    <cellStyle name="40% - Accent6 4 2 2 4 2" xfId="6943"/>
    <cellStyle name="40% - Accent6 4 2 2 4 2 2" xfId="13185"/>
    <cellStyle name="40% - Accent6 4 2 2 4 2 3" xfId="19340"/>
    <cellStyle name="40% - Accent6 4 2 2 4 2 4" xfId="25467"/>
    <cellStyle name="40% - Accent6 4 2 2 4 3" xfId="10098"/>
    <cellStyle name="40% - Accent6 4 2 2 4 4" xfId="16263"/>
    <cellStyle name="40% - Accent6 4 2 2 4 5" xfId="22391"/>
    <cellStyle name="40% - Accent6 4 2 2 5" xfId="3816"/>
    <cellStyle name="40% - Accent6 4 2 2 5 2" xfId="6944"/>
    <cellStyle name="40% - Accent6 4 2 2 5 2 2" xfId="13186"/>
    <cellStyle name="40% - Accent6 4 2 2 5 2 3" xfId="19341"/>
    <cellStyle name="40% - Accent6 4 2 2 5 2 4" xfId="25468"/>
    <cellStyle name="40% - Accent6 4 2 2 5 3" xfId="10099"/>
    <cellStyle name="40% - Accent6 4 2 2 5 4" xfId="16264"/>
    <cellStyle name="40% - Accent6 4 2 2 5 5" xfId="22392"/>
    <cellStyle name="40% - Accent6 4 2 2 6" xfId="3810"/>
    <cellStyle name="40% - Accent6 4 2 2 6 2" xfId="6938"/>
    <cellStyle name="40% - Accent6 4 2 2 6 2 2" xfId="13180"/>
    <cellStyle name="40% - Accent6 4 2 2 6 2 3" xfId="19335"/>
    <cellStyle name="40% - Accent6 4 2 2 6 2 4" xfId="25462"/>
    <cellStyle name="40% - Accent6 4 2 2 6 3" xfId="10093"/>
    <cellStyle name="40% - Accent6 4 2 2 6 4" xfId="16258"/>
    <cellStyle name="40% - Accent6 4 2 2 6 5" xfId="22386"/>
    <cellStyle name="40% - Accent6 4 2 2 7" xfId="5383"/>
    <cellStyle name="40% - Accent6 4 2 2 7 2" xfId="11625"/>
    <cellStyle name="40% - Accent6 4 2 2 7 3" xfId="17780"/>
    <cellStyle name="40% - Accent6 4 2 2 7 4" xfId="23907"/>
    <cellStyle name="40% - Accent6 4 2 2 8" xfId="8538"/>
    <cellStyle name="40% - Accent6 4 2 2 9" xfId="14673"/>
    <cellStyle name="40% - Accent6 4 2 3" xfId="2344"/>
    <cellStyle name="40% - Accent6 4 2 3 2" xfId="3818"/>
    <cellStyle name="40% - Accent6 4 2 3 2 2" xfId="6946"/>
    <cellStyle name="40% - Accent6 4 2 3 2 2 2" xfId="13188"/>
    <cellStyle name="40% - Accent6 4 2 3 2 2 3" xfId="19343"/>
    <cellStyle name="40% - Accent6 4 2 3 2 2 4" xfId="25470"/>
    <cellStyle name="40% - Accent6 4 2 3 2 3" xfId="10101"/>
    <cellStyle name="40% - Accent6 4 2 3 2 4" xfId="16266"/>
    <cellStyle name="40% - Accent6 4 2 3 2 5" xfId="22394"/>
    <cellStyle name="40% - Accent6 4 2 3 3" xfId="3817"/>
    <cellStyle name="40% - Accent6 4 2 3 3 2" xfId="6945"/>
    <cellStyle name="40% - Accent6 4 2 3 3 2 2" xfId="13187"/>
    <cellStyle name="40% - Accent6 4 2 3 3 2 3" xfId="19342"/>
    <cellStyle name="40% - Accent6 4 2 3 3 2 4" xfId="25469"/>
    <cellStyle name="40% - Accent6 4 2 3 3 3" xfId="10100"/>
    <cellStyle name="40% - Accent6 4 2 3 3 4" xfId="16265"/>
    <cellStyle name="40% - Accent6 4 2 3 3 5" xfId="22393"/>
    <cellStyle name="40% - Accent6 4 2 3 4" xfId="5657"/>
    <cellStyle name="40% - Accent6 4 2 3 4 2" xfId="11899"/>
    <cellStyle name="40% - Accent6 4 2 3 4 3" xfId="18054"/>
    <cellStyle name="40% - Accent6 4 2 3 4 4" xfId="24181"/>
    <cellStyle name="40% - Accent6 4 2 3 5" xfId="8811"/>
    <cellStyle name="40% - Accent6 4 2 3 6" xfId="14676"/>
    <cellStyle name="40% - Accent6 4 2 3 7" xfId="20991"/>
    <cellStyle name="40% - Accent6 4 2 4" xfId="2177"/>
    <cellStyle name="40% - Accent6 4 2 4 2" xfId="3820"/>
    <cellStyle name="40% - Accent6 4 2 4 2 2" xfId="6948"/>
    <cellStyle name="40% - Accent6 4 2 4 2 2 2" xfId="13190"/>
    <cellStyle name="40% - Accent6 4 2 4 2 2 3" xfId="19345"/>
    <cellStyle name="40% - Accent6 4 2 4 2 2 4" xfId="25472"/>
    <cellStyle name="40% - Accent6 4 2 4 2 3" xfId="10103"/>
    <cellStyle name="40% - Accent6 4 2 4 2 4" xfId="16268"/>
    <cellStyle name="40% - Accent6 4 2 4 2 5" xfId="22396"/>
    <cellStyle name="40% - Accent6 4 2 4 3" xfId="3819"/>
    <cellStyle name="40% - Accent6 4 2 4 3 2" xfId="6947"/>
    <cellStyle name="40% - Accent6 4 2 4 3 2 2" xfId="13189"/>
    <cellStyle name="40% - Accent6 4 2 4 3 2 3" xfId="19344"/>
    <cellStyle name="40% - Accent6 4 2 4 3 2 4" xfId="25471"/>
    <cellStyle name="40% - Accent6 4 2 4 3 3" xfId="10102"/>
    <cellStyle name="40% - Accent6 4 2 4 3 4" xfId="16267"/>
    <cellStyle name="40% - Accent6 4 2 4 3 5" xfId="22395"/>
    <cellStyle name="40% - Accent6 4 2 4 4" xfId="5490"/>
    <cellStyle name="40% - Accent6 4 2 4 4 2" xfId="11732"/>
    <cellStyle name="40% - Accent6 4 2 4 4 3" xfId="17887"/>
    <cellStyle name="40% - Accent6 4 2 4 4 4" xfId="24014"/>
    <cellStyle name="40% - Accent6 4 2 4 5" xfId="8644"/>
    <cellStyle name="40% - Accent6 4 2 4 6" xfId="14677"/>
    <cellStyle name="40% - Accent6 4 2 4 7" xfId="20824"/>
    <cellStyle name="40% - Accent6 4 2 5" xfId="814"/>
    <cellStyle name="40% - Accent6 4 2 5 2" xfId="3822"/>
    <cellStyle name="40% - Accent6 4 2 5 2 2" xfId="6950"/>
    <cellStyle name="40% - Accent6 4 2 5 2 2 2" xfId="13192"/>
    <cellStyle name="40% - Accent6 4 2 5 2 2 3" xfId="19347"/>
    <cellStyle name="40% - Accent6 4 2 5 2 2 4" xfId="25474"/>
    <cellStyle name="40% - Accent6 4 2 5 2 3" xfId="10105"/>
    <cellStyle name="40% - Accent6 4 2 5 2 4" xfId="16270"/>
    <cellStyle name="40% - Accent6 4 2 5 2 5" xfId="22398"/>
    <cellStyle name="40% - Accent6 4 2 5 3" xfId="3821"/>
    <cellStyle name="40% - Accent6 4 2 5 3 2" xfId="6949"/>
    <cellStyle name="40% - Accent6 4 2 5 3 2 2" xfId="13191"/>
    <cellStyle name="40% - Accent6 4 2 5 3 2 3" xfId="19346"/>
    <cellStyle name="40% - Accent6 4 2 5 3 2 4" xfId="25473"/>
    <cellStyle name="40% - Accent6 4 2 5 3 3" xfId="10104"/>
    <cellStyle name="40% - Accent6 4 2 5 3 4" xfId="16269"/>
    <cellStyle name="40% - Accent6 4 2 5 3 5" xfId="22397"/>
    <cellStyle name="40% - Accent6 4 2 5 4" xfId="5163"/>
    <cellStyle name="40% - Accent6 4 2 5 4 2" xfId="11406"/>
    <cellStyle name="40% - Accent6 4 2 5 4 3" xfId="17561"/>
    <cellStyle name="40% - Accent6 4 2 5 4 4" xfId="23688"/>
    <cellStyle name="40% - Accent6 4 2 5 5" xfId="8320"/>
    <cellStyle name="40% - Accent6 4 2 5 6" xfId="14678"/>
    <cellStyle name="40% - Accent6 4 2 5 7" xfId="20503"/>
    <cellStyle name="40% - Accent6 4 2 6" xfId="261"/>
    <cellStyle name="40% - Accent6 4 2 6 2" xfId="3824"/>
    <cellStyle name="40% - Accent6 4 2 6 2 2" xfId="6952"/>
    <cellStyle name="40% - Accent6 4 2 6 2 2 2" xfId="13194"/>
    <cellStyle name="40% - Accent6 4 2 6 2 2 3" xfId="19349"/>
    <cellStyle name="40% - Accent6 4 2 6 2 2 4" xfId="25476"/>
    <cellStyle name="40% - Accent6 4 2 6 2 3" xfId="10107"/>
    <cellStyle name="40% - Accent6 4 2 6 2 4" xfId="16272"/>
    <cellStyle name="40% - Accent6 4 2 6 2 5" xfId="22400"/>
    <cellStyle name="40% - Accent6 4 2 6 3" xfId="3823"/>
    <cellStyle name="40% - Accent6 4 2 6 3 2" xfId="6951"/>
    <cellStyle name="40% - Accent6 4 2 6 3 2 2" xfId="13193"/>
    <cellStyle name="40% - Accent6 4 2 6 3 2 3" xfId="19348"/>
    <cellStyle name="40% - Accent6 4 2 6 3 2 4" xfId="25475"/>
    <cellStyle name="40% - Accent6 4 2 6 3 3" xfId="10106"/>
    <cellStyle name="40% - Accent6 4 2 6 3 4" xfId="16271"/>
    <cellStyle name="40% - Accent6 4 2 6 3 5" xfId="22399"/>
    <cellStyle name="40% - Accent6 4 2 6 4" xfId="5041"/>
    <cellStyle name="40% - Accent6 4 2 6 4 2" xfId="11284"/>
    <cellStyle name="40% - Accent6 4 2 6 4 3" xfId="17439"/>
    <cellStyle name="40% - Accent6 4 2 6 4 4" xfId="23566"/>
    <cellStyle name="40% - Accent6 4 2 6 5" xfId="8199"/>
    <cellStyle name="40% - Accent6 4 2 6 6" xfId="14679"/>
    <cellStyle name="40% - Accent6 4 2 6 7" xfId="21195"/>
    <cellStyle name="40% - Accent6 4 2 7" xfId="3825"/>
    <cellStyle name="40% - Accent6 4 2 7 2" xfId="6953"/>
    <cellStyle name="40% - Accent6 4 2 7 2 2" xfId="13195"/>
    <cellStyle name="40% - Accent6 4 2 7 2 3" xfId="19350"/>
    <cellStyle name="40% - Accent6 4 2 7 2 4" xfId="25477"/>
    <cellStyle name="40% - Accent6 4 2 7 3" xfId="10108"/>
    <cellStyle name="40% - Accent6 4 2 7 4" xfId="16273"/>
    <cellStyle name="40% - Accent6 4 2 7 5" xfId="22401"/>
    <cellStyle name="40% - Accent6 4 2 8" xfId="3826"/>
    <cellStyle name="40% - Accent6 4 2 8 2" xfId="6954"/>
    <cellStyle name="40% - Accent6 4 2 8 2 2" xfId="13196"/>
    <cellStyle name="40% - Accent6 4 2 8 2 3" xfId="19351"/>
    <cellStyle name="40% - Accent6 4 2 8 2 4" xfId="25478"/>
    <cellStyle name="40% - Accent6 4 2 8 3" xfId="10109"/>
    <cellStyle name="40% - Accent6 4 2 8 4" xfId="16274"/>
    <cellStyle name="40% - Accent6 4 2 8 5" xfId="22402"/>
    <cellStyle name="40% - Accent6 4 2 9" xfId="3809"/>
    <cellStyle name="40% - Accent6 4 2 9 2" xfId="6937"/>
    <cellStyle name="40% - Accent6 4 2 9 2 2" xfId="13179"/>
    <cellStyle name="40% - Accent6 4 2 9 2 3" xfId="19334"/>
    <cellStyle name="40% - Accent6 4 2 9 2 4" xfId="25461"/>
    <cellStyle name="40% - Accent6 4 2 9 3" xfId="10092"/>
    <cellStyle name="40% - Accent6 4 2 9 4" xfId="16257"/>
    <cellStyle name="40% - Accent6 4 2 9 5" xfId="22385"/>
    <cellStyle name="40% - Accent6 5" xfId="478"/>
    <cellStyle name="40% - Accent6 5 2" xfId="3828"/>
    <cellStyle name="40% - Accent6 5 2 2" xfId="6956"/>
    <cellStyle name="40% - Accent6 5 2 2 2" xfId="13198"/>
    <cellStyle name="40% - Accent6 5 2 2 3" xfId="19353"/>
    <cellStyle name="40% - Accent6 5 2 2 4" xfId="25480"/>
    <cellStyle name="40% - Accent6 5 2 3" xfId="10111"/>
    <cellStyle name="40% - Accent6 5 2 4" xfId="16276"/>
    <cellStyle name="40% - Accent6 5 2 5" xfId="22404"/>
    <cellStyle name="40% - Accent6 5 3" xfId="3829"/>
    <cellStyle name="40% - Accent6 5 3 2" xfId="6957"/>
    <cellStyle name="40% - Accent6 5 3 2 2" xfId="13199"/>
    <cellStyle name="40% - Accent6 5 3 2 3" xfId="19354"/>
    <cellStyle name="40% - Accent6 5 3 2 4" xfId="25481"/>
    <cellStyle name="40% - Accent6 5 3 3" xfId="10112"/>
    <cellStyle name="40% - Accent6 5 3 4" xfId="16277"/>
    <cellStyle name="40% - Accent6 5 3 5" xfId="22405"/>
    <cellStyle name="40% - Accent6 5 4" xfId="3827"/>
    <cellStyle name="40% - Accent6 5 4 2" xfId="6955"/>
    <cellStyle name="40% - Accent6 5 4 2 2" xfId="13197"/>
    <cellStyle name="40% - Accent6 5 4 2 3" xfId="19352"/>
    <cellStyle name="40% - Accent6 5 4 2 4" xfId="25479"/>
    <cellStyle name="40% - Accent6 5 4 3" xfId="10110"/>
    <cellStyle name="40% - Accent6 5 4 4" xfId="16275"/>
    <cellStyle name="40% - Accent6 5 4 5" xfId="22403"/>
    <cellStyle name="40% - Accent6 5 5" xfId="5096"/>
    <cellStyle name="40% - Accent6 5 5 2" xfId="11339"/>
    <cellStyle name="40% - Accent6 5 5 3" xfId="17494"/>
    <cellStyle name="40% - Accent6 5 5 4" xfId="23621"/>
    <cellStyle name="40% - Accent6 5 6" xfId="8255"/>
    <cellStyle name="40% - Accent6 5 7" xfId="14680"/>
    <cellStyle name="40% - Accent6 5 8" xfId="20441"/>
    <cellStyle name="40% - Accent6 6" xfId="199"/>
    <cellStyle name="40% - Accent6 6 2" xfId="3831"/>
    <cellStyle name="40% - Accent6 6 2 2" xfId="6959"/>
    <cellStyle name="40% - Accent6 6 2 2 2" xfId="13201"/>
    <cellStyle name="40% - Accent6 6 2 2 3" xfId="19356"/>
    <cellStyle name="40% - Accent6 6 2 2 4" xfId="25483"/>
    <cellStyle name="40% - Accent6 6 2 3" xfId="10114"/>
    <cellStyle name="40% - Accent6 6 2 4" xfId="16279"/>
    <cellStyle name="40% - Accent6 6 2 5" xfId="22407"/>
    <cellStyle name="40% - Accent6 6 3" xfId="3830"/>
    <cellStyle name="40% - Accent6 6 3 2" xfId="6958"/>
    <cellStyle name="40% - Accent6 6 3 2 2" xfId="13200"/>
    <cellStyle name="40% - Accent6 6 3 2 3" xfId="19355"/>
    <cellStyle name="40% - Accent6 6 3 2 4" xfId="25482"/>
    <cellStyle name="40% - Accent6 6 3 3" xfId="10113"/>
    <cellStyle name="40% - Accent6 6 3 4" xfId="16278"/>
    <cellStyle name="40% - Accent6 6 3 5" xfId="22406"/>
    <cellStyle name="40% - Accent6 6 4" xfId="4980"/>
    <cellStyle name="40% - Accent6 6 4 2" xfId="11223"/>
    <cellStyle name="40% - Accent6 6 4 3" xfId="17378"/>
    <cellStyle name="40% - Accent6 6 4 4" xfId="23505"/>
    <cellStyle name="40% - Accent6 6 5" xfId="8138"/>
    <cellStyle name="40% - Accent6 6 6" xfId="15103"/>
    <cellStyle name="40% - Accent6 6 7" xfId="21231"/>
    <cellStyle name="40% - Accent6 7" xfId="3832"/>
    <cellStyle name="40% - Accent6 7 2" xfId="6960"/>
    <cellStyle name="40% - Accent6 7 2 2" xfId="13202"/>
    <cellStyle name="40% - Accent6 7 2 3" xfId="19357"/>
    <cellStyle name="40% - Accent6 7 2 4" xfId="25484"/>
    <cellStyle name="40% - Accent6 7 3" xfId="10115"/>
    <cellStyle name="40% - Accent6 7 4" xfId="16280"/>
    <cellStyle name="40% - Accent6 7 5" xfId="22408"/>
    <cellStyle name="40% - Accent6 8" xfId="4861"/>
    <cellStyle name="40% - Accent6 8 2" xfId="7906"/>
    <cellStyle name="40% - Accent6 8 2 2" xfId="14148"/>
    <cellStyle name="40% - Accent6 8 2 3" xfId="20303"/>
    <cellStyle name="40% - Accent6 8 2 4" xfId="26430"/>
    <cellStyle name="40% - Accent6 8 3" xfId="11117"/>
    <cellStyle name="40% - Accent6 8 4" xfId="17272"/>
    <cellStyle name="40% - Accent6 8 5" xfId="23399"/>
    <cellStyle name="40% - Accent6 9" xfId="4887"/>
    <cellStyle name="40% - Accent6 9 2" xfId="11133"/>
    <cellStyle name="40% - Accent6 9 3" xfId="17288"/>
    <cellStyle name="40% - Accent6 9 4" xfId="23415"/>
    <cellStyle name="60 % – Zvýraznění1" xfId="526"/>
    <cellStyle name="60 % – Zvýraznění1 2" xfId="1036"/>
    <cellStyle name="60 % – Zvýraznění1 3" xfId="1875"/>
    <cellStyle name="60 % – Zvýraznění2" xfId="527"/>
    <cellStyle name="60 % – Zvýraznění2 2" xfId="1037"/>
    <cellStyle name="60 % – Zvýraznění2 3" xfId="1788"/>
    <cellStyle name="60 % – Zvýraznění3" xfId="528"/>
    <cellStyle name="60 % – Zvýraznění3 2" xfId="1038"/>
    <cellStyle name="60 % – Zvýraznění3 3" xfId="1716"/>
    <cellStyle name="60 % – Zvýraznění4" xfId="529"/>
    <cellStyle name="60 % – Zvýraznění4 2" xfId="1039"/>
    <cellStyle name="60 % – Zvýraznění4 3" xfId="1742"/>
    <cellStyle name="60 % – Zvýraznění5" xfId="530"/>
    <cellStyle name="60 % – Zvýraznění5 2" xfId="1040"/>
    <cellStyle name="60 % – Zvýraznění5 3" xfId="1921"/>
    <cellStyle name="60 % – Zvýraznění6" xfId="531"/>
    <cellStyle name="60 % – Zvýraznění6 2" xfId="1041"/>
    <cellStyle name="60 % – Zvýraznění6 3" xfId="1902"/>
    <cellStyle name="60 % - zvýraznenie1" xfId="13"/>
    <cellStyle name="60 % - zvýraznenie1 2" xfId="1671"/>
    <cellStyle name="60 % - zvýraznenie1 3" xfId="2561"/>
    <cellStyle name="60 % - zvýraznenie1 4" xfId="7940"/>
    <cellStyle name="60 % - zvýraznenie1 5" xfId="14170"/>
    <cellStyle name="60 % - zvýraznenie2" xfId="14"/>
    <cellStyle name="60 % - zvýraznenie2 2" xfId="1628"/>
    <cellStyle name="60 % - zvýraznenie2 3" xfId="2562"/>
    <cellStyle name="60 % - zvýraznenie2 4" xfId="7941"/>
    <cellStyle name="60 % - zvýraznenie2 5" xfId="14171"/>
    <cellStyle name="60 % - zvýraznenie3" xfId="15"/>
    <cellStyle name="60 % - zvýraznenie3 2" xfId="1467"/>
    <cellStyle name="60 % - zvýraznenie3 3" xfId="2563"/>
    <cellStyle name="60 % - zvýraznenie3 4" xfId="7942"/>
    <cellStyle name="60 % - zvýraznenie3 5" xfId="14172"/>
    <cellStyle name="60 % - zvýraznenie4" xfId="16"/>
    <cellStyle name="60 % - zvýraznenie4 2" xfId="1438"/>
    <cellStyle name="60 % - zvýraznenie4 3" xfId="2564"/>
    <cellStyle name="60 % - zvýraznenie4 4" xfId="7943"/>
    <cellStyle name="60 % - zvýraznenie4 5" xfId="14173"/>
    <cellStyle name="60 % - zvýraznenie5" xfId="17"/>
    <cellStyle name="60 % - zvýraznenie5 2" xfId="1757"/>
    <cellStyle name="60 % - zvýraznenie5 3" xfId="2565"/>
    <cellStyle name="60 % - zvýraznenie5 4" xfId="7944"/>
    <cellStyle name="60 % - zvýraznenie5 5" xfId="14174"/>
    <cellStyle name="60 % - zvýraznenie6" xfId="18"/>
    <cellStyle name="60 % - zvýraznenie6 2" xfId="1728"/>
    <cellStyle name="60 % - zvýraznenie6 3" xfId="2566"/>
    <cellStyle name="60 % - zvýraznenie6 4" xfId="7945"/>
    <cellStyle name="60 % - zvýraznenie6 5" xfId="14175"/>
    <cellStyle name="60 % - Accent1" xfId="532"/>
    <cellStyle name="60 % - Accent2" xfId="533"/>
    <cellStyle name="60 % - Accent3" xfId="534"/>
    <cellStyle name="60 % - Accent4" xfId="535"/>
    <cellStyle name="60 % - Accent5" xfId="536"/>
    <cellStyle name="60 % - Accent6" xfId="537"/>
    <cellStyle name="60% - Accent1 2" xfId="104"/>
    <cellStyle name="60% - Accent1 2 2" xfId="1042"/>
    <cellStyle name="60% - Accent1 3" xfId="105"/>
    <cellStyle name="60% - Accent2 2" xfId="106"/>
    <cellStyle name="60% - Accent2 2 2" xfId="1043"/>
    <cellStyle name="60% - Accent2 3" xfId="107"/>
    <cellStyle name="60% - Accent3 2" xfId="108"/>
    <cellStyle name="60% - Accent3 2 2" xfId="1044"/>
    <cellStyle name="60% - Accent3 3" xfId="109"/>
    <cellStyle name="60% - Accent4 2" xfId="110"/>
    <cellStyle name="60% - Accent4 2 2" xfId="1045"/>
    <cellStyle name="60% - Accent4 3" xfId="111"/>
    <cellStyle name="60% - Accent5 2" xfId="112"/>
    <cellStyle name="60% - Accent5 2 2" xfId="1046"/>
    <cellStyle name="60% - Accent5 3" xfId="113"/>
    <cellStyle name="60% - Accent6 2" xfId="114"/>
    <cellStyle name="60% - Accent6 2 2" xfId="1047"/>
    <cellStyle name="60% - Accent6 3" xfId="115"/>
    <cellStyle name="Accent1 2" xfId="116"/>
    <cellStyle name="Accent1 2 2" xfId="1048"/>
    <cellStyle name="Accent1 3" xfId="117"/>
    <cellStyle name="Accent1 4" xfId="7946"/>
    <cellStyle name="Accent2 2" xfId="118"/>
    <cellStyle name="Accent2 2 2" xfId="1049"/>
    <cellStyle name="Accent2 3" xfId="119"/>
    <cellStyle name="Accent2 4" xfId="7947"/>
    <cellStyle name="Accent3 2" xfId="120"/>
    <cellStyle name="Accent3 2 2" xfId="1050"/>
    <cellStyle name="Accent3 3" xfId="121"/>
    <cellStyle name="Accent3 4" xfId="7948"/>
    <cellStyle name="Accent4 2" xfId="122"/>
    <cellStyle name="Accent4 2 2" xfId="1051"/>
    <cellStyle name="Accent4 3" xfId="123"/>
    <cellStyle name="Accent4 4" xfId="7949"/>
    <cellStyle name="Accent5 2" xfId="124"/>
    <cellStyle name="Accent5 2 2" xfId="1052"/>
    <cellStyle name="Accent5 2 3" xfId="1601"/>
    <cellStyle name="Accent5 3" xfId="125"/>
    <cellStyle name="Accent5 4" xfId="7950"/>
    <cellStyle name="Accent6 2" xfId="126"/>
    <cellStyle name="Accent6 2 2" xfId="1053"/>
    <cellStyle name="Accent6 3" xfId="127"/>
    <cellStyle name="Accent6 4" xfId="7951"/>
    <cellStyle name="Avertissement" xfId="538"/>
    <cellStyle name="Bad 2" xfId="128"/>
    <cellStyle name="Bad 2 2" xfId="1054"/>
    <cellStyle name="Bad 2 3" xfId="1533"/>
    <cellStyle name="Bad 3" xfId="129"/>
    <cellStyle name="Bad 4" xfId="7952"/>
    <cellStyle name="Body" xfId="1693"/>
    <cellStyle name="Brand Default" xfId="1263"/>
    <cellStyle name="Brand Subtitle with Underline" xfId="1270"/>
    <cellStyle name="BuiltOption_Content" xfId="539"/>
    <cellStyle name="Cadence" xfId="540"/>
    <cellStyle name="Calc Currency (0)" xfId="1401"/>
    <cellStyle name="Calcul" xfId="541"/>
    <cellStyle name="Calculation 2" xfId="130"/>
    <cellStyle name="Calculation 2 2" xfId="1055"/>
    <cellStyle name="Calculation 3" xfId="131"/>
    <cellStyle name="Calculation 4" xfId="7953"/>
    <cellStyle name="Celkem" xfId="542"/>
    <cellStyle name="Celkem 2" xfId="1056"/>
    <cellStyle name="Celkem 3" xfId="1428"/>
    <cellStyle name="Cellule liée" xfId="543"/>
    <cellStyle name="cena" xfId="1584"/>
    <cellStyle name="cena 2" xfId="1804"/>
    <cellStyle name="cena-bold" xfId="1874"/>
    <cellStyle name="ColumnHeaderNormal" xfId="1650"/>
    <cellStyle name="CombinedVol_Data" xfId="544"/>
    <cellStyle name="Comma [0] 2" xfId="1057"/>
    <cellStyle name="Comma 10" xfId="1058"/>
    <cellStyle name="Comma 10 2" xfId="1552"/>
    <cellStyle name="Comma 10 3" xfId="3834"/>
    <cellStyle name="Comma 10 3 2" xfId="6962"/>
    <cellStyle name="Comma 10 3 2 2" xfId="13204"/>
    <cellStyle name="Comma 10 3 2 3" xfId="19359"/>
    <cellStyle name="Comma 10 3 2 4" xfId="25486"/>
    <cellStyle name="Comma 10 3 3" xfId="10117"/>
    <cellStyle name="Comma 10 3 4" xfId="16282"/>
    <cellStyle name="Comma 10 3 5" xfId="22410"/>
    <cellStyle name="Comma 10 4" xfId="3833"/>
    <cellStyle name="Comma 10 4 2" xfId="6961"/>
    <cellStyle name="Comma 10 4 2 2" xfId="13203"/>
    <cellStyle name="Comma 10 4 2 3" xfId="19358"/>
    <cellStyle name="Comma 10 4 2 4" xfId="25485"/>
    <cellStyle name="Comma 10 4 3" xfId="10116"/>
    <cellStyle name="Comma 10 4 4" xfId="16281"/>
    <cellStyle name="Comma 10 4 5" xfId="22409"/>
    <cellStyle name="Comma 10 5" xfId="5179"/>
    <cellStyle name="Comma 10 5 2" xfId="11422"/>
    <cellStyle name="Comma 10 5 3" xfId="17577"/>
    <cellStyle name="Comma 10 5 4" xfId="23704"/>
    <cellStyle name="Comma 10 6" xfId="8336"/>
    <cellStyle name="Comma 10 7" xfId="14681"/>
    <cellStyle name="Comma 10 8" xfId="20519"/>
    <cellStyle name="Comma 11" xfId="1161"/>
    <cellStyle name="Comma 11 2" xfId="1681"/>
    <cellStyle name="Comma 12" xfId="1204"/>
    <cellStyle name="Comma 12 2" xfId="1588"/>
    <cellStyle name="Comma 12 3" xfId="3836"/>
    <cellStyle name="Comma 12 3 2" xfId="6964"/>
    <cellStyle name="Comma 12 3 2 2" xfId="13206"/>
    <cellStyle name="Comma 12 3 2 3" xfId="19361"/>
    <cellStyle name="Comma 12 3 2 4" xfId="25488"/>
    <cellStyle name="Comma 12 3 3" xfId="10119"/>
    <cellStyle name="Comma 12 3 4" xfId="16284"/>
    <cellStyle name="Comma 12 3 5" xfId="22412"/>
    <cellStyle name="Comma 12 4" xfId="3835"/>
    <cellStyle name="Comma 12 4 2" xfId="6963"/>
    <cellStyle name="Comma 12 4 2 2" xfId="13205"/>
    <cellStyle name="Comma 12 4 2 3" xfId="19360"/>
    <cellStyle name="Comma 12 4 2 4" xfId="25487"/>
    <cellStyle name="Comma 12 4 3" xfId="10118"/>
    <cellStyle name="Comma 12 4 4" xfId="16283"/>
    <cellStyle name="Comma 12 4 5" xfId="22411"/>
    <cellStyle name="Comma 12 5" xfId="5196"/>
    <cellStyle name="Comma 12 5 2" xfId="11438"/>
    <cellStyle name="Comma 12 5 3" xfId="17593"/>
    <cellStyle name="Comma 12 5 4" xfId="23720"/>
    <cellStyle name="Comma 12 6" xfId="8354"/>
    <cellStyle name="Comma 12 7" xfId="14682"/>
    <cellStyle name="Comma 12 8" xfId="20536"/>
    <cellStyle name="Comma 13" xfId="1207"/>
    <cellStyle name="Comma 13 2" xfId="1416"/>
    <cellStyle name="Comma 13 3" xfId="3838"/>
    <cellStyle name="Comma 13 3 2" xfId="6966"/>
    <cellStyle name="Comma 13 3 2 2" xfId="13208"/>
    <cellStyle name="Comma 13 3 2 3" xfId="19363"/>
    <cellStyle name="Comma 13 3 2 4" xfId="25490"/>
    <cellStyle name="Comma 13 3 3" xfId="10121"/>
    <cellStyle name="Comma 13 3 4" xfId="16286"/>
    <cellStyle name="Comma 13 3 5" xfId="22414"/>
    <cellStyle name="Comma 13 4" xfId="3837"/>
    <cellStyle name="Comma 13 4 2" xfId="6965"/>
    <cellStyle name="Comma 13 4 2 2" xfId="13207"/>
    <cellStyle name="Comma 13 4 2 3" xfId="19362"/>
    <cellStyle name="Comma 13 4 2 4" xfId="25489"/>
    <cellStyle name="Comma 13 4 3" xfId="10120"/>
    <cellStyle name="Comma 13 4 4" xfId="16285"/>
    <cellStyle name="Comma 13 4 5" xfId="22413"/>
    <cellStyle name="Comma 13 5" xfId="5198"/>
    <cellStyle name="Comma 13 5 2" xfId="11440"/>
    <cellStyle name="Comma 13 5 3" xfId="17595"/>
    <cellStyle name="Comma 13 5 4" xfId="23722"/>
    <cellStyle name="Comma 13 6" xfId="8356"/>
    <cellStyle name="Comma 13 7" xfId="14683"/>
    <cellStyle name="Comma 13 8" xfId="20538"/>
    <cellStyle name="Comma 14" xfId="1219"/>
    <cellStyle name="Comma 14 2" xfId="3840"/>
    <cellStyle name="Comma 14 2 2" xfId="6968"/>
    <cellStyle name="Comma 14 2 2 2" xfId="13210"/>
    <cellStyle name="Comma 14 2 2 3" xfId="19365"/>
    <cellStyle name="Comma 14 2 2 4" xfId="25492"/>
    <cellStyle name="Comma 14 2 3" xfId="10123"/>
    <cellStyle name="Comma 14 2 4" xfId="16288"/>
    <cellStyle name="Comma 14 2 5" xfId="22416"/>
    <cellStyle name="Comma 14 3" xfId="3839"/>
    <cellStyle name="Comma 14 3 2" xfId="6967"/>
    <cellStyle name="Comma 14 3 2 2" xfId="13209"/>
    <cellStyle name="Comma 14 3 2 3" xfId="19364"/>
    <cellStyle name="Comma 14 3 2 4" xfId="25491"/>
    <cellStyle name="Comma 14 3 3" xfId="10122"/>
    <cellStyle name="Comma 14 3 4" xfId="16287"/>
    <cellStyle name="Comma 14 3 5" xfId="22415"/>
    <cellStyle name="Comma 14 4" xfId="5201"/>
    <cellStyle name="Comma 14 4 2" xfId="11443"/>
    <cellStyle name="Comma 14 4 3" xfId="17598"/>
    <cellStyle name="Comma 14 4 4" xfId="23725"/>
    <cellStyle name="Comma 14 5" xfId="8359"/>
    <cellStyle name="Comma 14 6" xfId="14684"/>
    <cellStyle name="Comma 14 7" xfId="20541"/>
    <cellStyle name="Comma 15" xfId="1222"/>
    <cellStyle name="Comma 15 2" xfId="3842"/>
    <cellStyle name="Comma 15 2 2" xfId="6970"/>
    <cellStyle name="Comma 15 2 2 2" xfId="13212"/>
    <cellStyle name="Comma 15 2 2 3" xfId="19367"/>
    <cellStyle name="Comma 15 2 2 4" xfId="25494"/>
    <cellStyle name="Comma 15 2 3" xfId="10125"/>
    <cellStyle name="Comma 15 2 4" xfId="16290"/>
    <cellStyle name="Comma 15 2 5" xfId="22418"/>
    <cellStyle name="Comma 15 3" xfId="3841"/>
    <cellStyle name="Comma 15 3 2" xfId="6969"/>
    <cellStyle name="Comma 15 3 2 2" xfId="13211"/>
    <cellStyle name="Comma 15 3 2 3" xfId="19366"/>
    <cellStyle name="Comma 15 3 2 4" xfId="25493"/>
    <cellStyle name="Comma 15 3 3" xfId="10124"/>
    <cellStyle name="Comma 15 3 4" xfId="16289"/>
    <cellStyle name="Comma 15 3 5" xfId="22417"/>
    <cellStyle name="Comma 15 4" xfId="5202"/>
    <cellStyle name="Comma 15 4 2" xfId="11444"/>
    <cellStyle name="Comma 15 4 3" xfId="17599"/>
    <cellStyle name="Comma 15 4 4" xfId="23726"/>
    <cellStyle name="Comma 15 5" xfId="8360"/>
    <cellStyle name="Comma 15 6" xfId="14685"/>
    <cellStyle name="Comma 15 7" xfId="20542"/>
    <cellStyle name="Comma 16" xfId="1206"/>
    <cellStyle name="Comma 16 2" xfId="3844"/>
    <cellStyle name="Comma 16 2 2" xfId="6972"/>
    <cellStyle name="Comma 16 2 2 2" xfId="13214"/>
    <cellStyle name="Comma 16 2 2 3" xfId="19369"/>
    <cellStyle name="Comma 16 2 2 4" xfId="25496"/>
    <cellStyle name="Comma 16 2 3" xfId="10127"/>
    <cellStyle name="Comma 16 2 4" xfId="16292"/>
    <cellStyle name="Comma 16 2 5" xfId="22420"/>
    <cellStyle name="Comma 16 3" xfId="3843"/>
    <cellStyle name="Comma 16 3 2" xfId="6971"/>
    <cellStyle name="Comma 16 3 2 2" xfId="13213"/>
    <cellStyle name="Comma 16 3 2 3" xfId="19368"/>
    <cellStyle name="Comma 16 3 2 4" xfId="25495"/>
    <cellStyle name="Comma 16 3 3" xfId="10126"/>
    <cellStyle name="Comma 16 3 4" xfId="16291"/>
    <cellStyle name="Comma 16 3 5" xfId="22419"/>
    <cellStyle name="Comma 16 4" xfId="5197"/>
    <cellStyle name="Comma 16 4 2" xfId="11439"/>
    <cellStyle name="Comma 16 4 3" xfId="17594"/>
    <cellStyle name="Comma 16 4 4" xfId="23721"/>
    <cellStyle name="Comma 16 5" xfId="8355"/>
    <cellStyle name="Comma 16 6" xfId="14686"/>
    <cellStyle name="Comma 16 7" xfId="20537"/>
    <cellStyle name="Comma 17" xfId="1213"/>
    <cellStyle name="Comma 17 2" xfId="3846"/>
    <cellStyle name="Comma 17 2 2" xfId="6974"/>
    <cellStyle name="Comma 17 2 2 2" xfId="13216"/>
    <cellStyle name="Comma 17 2 2 3" xfId="19371"/>
    <cellStyle name="Comma 17 2 2 4" xfId="25498"/>
    <cellStyle name="Comma 17 2 3" xfId="10129"/>
    <cellStyle name="Comma 17 2 4" xfId="16294"/>
    <cellStyle name="Comma 17 2 5" xfId="22422"/>
    <cellStyle name="Comma 17 3" xfId="3845"/>
    <cellStyle name="Comma 17 3 2" xfId="6973"/>
    <cellStyle name="Comma 17 3 2 2" xfId="13215"/>
    <cellStyle name="Comma 17 3 2 3" xfId="19370"/>
    <cellStyle name="Comma 17 3 2 4" xfId="25497"/>
    <cellStyle name="Comma 17 3 3" xfId="10128"/>
    <cellStyle name="Comma 17 3 4" xfId="16293"/>
    <cellStyle name="Comma 17 3 5" xfId="22421"/>
    <cellStyle name="Comma 17 4" xfId="5200"/>
    <cellStyle name="Comma 17 4 2" xfId="11442"/>
    <cellStyle name="Comma 17 4 3" xfId="17597"/>
    <cellStyle name="Comma 17 4 4" xfId="23724"/>
    <cellStyle name="Comma 17 5" xfId="8358"/>
    <cellStyle name="Comma 17 6" xfId="14687"/>
    <cellStyle name="Comma 17 7" xfId="20540"/>
    <cellStyle name="Comma 18" xfId="1201"/>
    <cellStyle name="Comma 18 2" xfId="3848"/>
    <cellStyle name="Comma 18 2 2" xfId="6976"/>
    <cellStyle name="Comma 18 2 2 2" xfId="13218"/>
    <cellStyle name="Comma 18 2 2 3" xfId="19373"/>
    <cellStyle name="Comma 18 2 2 4" xfId="25500"/>
    <cellStyle name="Comma 18 2 3" xfId="10131"/>
    <cellStyle name="Comma 18 2 4" xfId="16296"/>
    <cellStyle name="Comma 18 2 5" xfId="22424"/>
    <cellStyle name="Comma 18 3" xfId="3847"/>
    <cellStyle name="Comma 18 3 2" xfId="6975"/>
    <cellStyle name="Comma 18 3 2 2" xfId="13217"/>
    <cellStyle name="Comma 18 3 2 3" xfId="19372"/>
    <cellStyle name="Comma 18 3 2 4" xfId="25499"/>
    <cellStyle name="Comma 18 3 3" xfId="10130"/>
    <cellStyle name="Comma 18 3 4" xfId="16295"/>
    <cellStyle name="Comma 18 3 5" xfId="22423"/>
    <cellStyle name="Comma 18 4" xfId="5194"/>
    <cellStyle name="Comma 18 4 2" xfId="11436"/>
    <cellStyle name="Comma 18 4 3" xfId="17591"/>
    <cellStyle name="Comma 18 4 4" xfId="23718"/>
    <cellStyle name="Comma 18 5" xfId="8352"/>
    <cellStyle name="Comma 18 6" xfId="14688"/>
    <cellStyle name="Comma 18 7" xfId="20534"/>
    <cellStyle name="Comma 19" xfId="1236"/>
    <cellStyle name="Comma 19 2" xfId="3850"/>
    <cellStyle name="Comma 19 2 2" xfId="6978"/>
    <cellStyle name="Comma 19 2 2 2" xfId="13220"/>
    <cellStyle name="Comma 19 2 2 3" xfId="19375"/>
    <cellStyle name="Comma 19 2 2 4" xfId="25502"/>
    <cellStyle name="Comma 19 2 3" xfId="10133"/>
    <cellStyle name="Comma 19 2 4" xfId="16298"/>
    <cellStyle name="Comma 19 2 5" xfId="22426"/>
    <cellStyle name="Comma 19 3" xfId="3849"/>
    <cellStyle name="Comma 19 3 2" xfId="6977"/>
    <cellStyle name="Comma 19 3 2 2" xfId="13219"/>
    <cellStyle name="Comma 19 3 2 3" xfId="19374"/>
    <cellStyle name="Comma 19 3 2 4" xfId="25501"/>
    <cellStyle name="Comma 19 3 3" xfId="10132"/>
    <cellStyle name="Comma 19 3 4" xfId="16297"/>
    <cellStyle name="Comma 19 3 5" xfId="22425"/>
    <cellStyle name="Comma 19 4" xfId="5210"/>
    <cellStyle name="Comma 19 4 2" xfId="11452"/>
    <cellStyle name="Comma 19 4 3" xfId="17607"/>
    <cellStyle name="Comma 19 4 4" xfId="23734"/>
    <cellStyle name="Comma 19 5" xfId="8367"/>
    <cellStyle name="Comma 19 6" xfId="14689"/>
    <cellStyle name="Comma 19 7" xfId="20549"/>
    <cellStyle name="Comma 2" xfId="172"/>
    <cellStyle name="Comma 2 10" xfId="1310"/>
    <cellStyle name="Comma 2 10 2" xfId="3853"/>
    <cellStyle name="Comma 2 10 2 2" xfId="6981"/>
    <cellStyle name="Comma 2 10 2 2 2" xfId="13223"/>
    <cellStyle name="Comma 2 10 2 2 3" xfId="19378"/>
    <cellStyle name="Comma 2 10 2 2 4" xfId="25505"/>
    <cellStyle name="Comma 2 10 2 3" xfId="10136"/>
    <cellStyle name="Comma 2 10 2 4" xfId="16301"/>
    <cellStyle name="Comma 2 10 2 5" xfId="22429"/>
    <cellStyle name="Comma 2 10 3" xfId="3854"/>
    <cellStyle name="Comma 2 10 3 2" xfId="6982"/>
    <cellStyle name="Comma 2 10 3 2 2" xfId="13224"/>
    <cellStyle name="Comma 2 10 3 2 3" xfId="19379"/>
    <cellStyle name="Comma 2 10 3 2 4" xfId="25506"/>
    <cellStyle name="Comma 2 10 3 3" xfId="10137"/>
    <cellStyle name="Comma 2 10 3 4" xfId="16302"/>
    <cellStyle name="Comma 2 10 3 5" xfId="22430"/>
    <cellStyle name="Comma 2 10 4" xfId="3852"/>
    <cellStyle name="Comma 2 10 4 2" xfId="6980"/>
    <cellStyle name="Comma 2 10 4 2 2" xfId="13222"/>
    <cellStyle name="Comma 2 10 4 2 3" xfId="19377"/>
    <cellStyle name="Comma 2 10 4 2 4" xfId="25504"/>
    <cellStyle name="Comma 2 10 4 3" xfId="10135"/>
    <cellStyle name="Comma 2 10 4 4" xfId="16300"/>
    <cellStyle name="Comma 2 10 4 5" xfId="22428"/>
    <cellStyle name="Comma 2 10 5" xfId="5225"/>
    <cellStyle name="Comma 2 10 5 2" xfId="11467"/>
    <cellStyle name="Comma 2 10 5 3" xfId="17622"/>
    <cellStyle name="Comma 2 10 5 4" xfId="23749"/>
    <cellStyle name="Comma 2 10 6" xfId="8381"/>
    <cellStyle name="Comma 2 10 7" xfId="14691"/>
    <cellStyle name="Comma 2 10 8" xfId="20563"/>
    <cellStyle name="Comma 2 11" xfId="1808"/>
    <cellStyle name="Comma 2 12" xfId="358"/>
    <cellStyle name="Comma 2 13" xfId="274"/>
    <cellStyle name="Comma 2 13 2" xfId="3856"/>
    <cellStyle name="Comma 2 13 2 2" xfId="6984"/>
    <cellStyle name="Comma 2 13 2 2 2" xfId="13226"/>
    <cellStyle name="Comma 2 13 2 2 3" xfId="19381"/>
    <cellStyle name="Comma 2 13 2 2 4" xfId="25508"/>
    <cellStyle name="Comma 2 13 2 3" xfId="10139"/>
    <cellStyle name="Comma 2 13 2 4" xfId="16304"/>
    <cellStyle name="Comma 2 13 2 5" xfId="22432"/>
    <cellStyle name="Comma 2 13 3" xfId="3855"/>
    <cellStyle name="Comma 2 13 3 2" xfId="6983"/>
    <cellStyle name="Comma 2 13 3 2 2" xfId="13225"/>
    <cellStyle name="Comma 2 13 3 2 3" xfId="19380"/>
    <cellStyle name="Comma 2 13 3 2 4" xfId="25507"/>
    <cellStyle name="Comma 2 13 3 3" xfId="10138"/>
    <cellStyle name="Comma 2 13 3 4" xfId="16303"/>
    <cellStyle name="Comma 2 13 3 5" xfId="22431"/>
    <cellStyle name="Comma 2 13 4" xfId="5053"/>
    <cellStyle name="Comma 2 13 4 2" xfId="11296"/>
    <cellStyle name="Comma 2 13 4 3" xfId="17451"/>
    <cellStyle name="Comma 2 13 4 4" xfId="23578"/>
    <cellStyle name="Comma 2 13 5" xfId="8211"/>
    <cellStyle name="Comma 2 13 6" xfId="15107"/>
    <cellStyle name="Comma 2 13 7" xfId="21235"/>
    <cellStyle name="Comma 2 14" xfId="3857"/>
    <cellStyle name="Comma 2 14 2" xfId="6985"/>
    <cellStyle name="Comma 2 14 2 2" xfId="13227"/>
    <cellStyle name="Comma 2 14 2 3" xfId="19382"/>
    <cellStyle name="Comma 2 14 2 4" xfId="25509"/>
    <cellStyle name="Comma 2 14 3" xfId="10140"/>
    <cellStyle name="Comma 2 14 4" xfId="16305"/>
    <cellStyle name="Comma 2 14 5" xfId="22433"/>
    <cellStyle name="Comma 2 15" xfId="3851"/>
    <cellStyle name="Comma 2 15 2" xfId="6979"/>
    <cellStyle name="Comma 2 15 2 2" xfId="13221"/>
    <cellStyle name="Comma 2 15 2 3" xfId="19376"/>
    <cellStyle name="Comma 2 15 2 4" xfId="25503"/>
    <cellStyle name="Comma 2 15 3" xfId="10134"/>
    <cellStyle name="Comma 2 15 4" xfId="16299"/>
    <cellStyle name="Comma 2 15 5" xfId="22427"/>
    <cellStyle name="Comma 2 16" xfId="4961"/>
    <cellStyle name="Comma 2 16 2" xfId="11205"/>
    <cellStyle name="Comma 2 16 3" xfId="17360"/>
    <cellStyle name="Comma 2 16 4" xfId="23487"/>
    <cellStyle name="Comma 2 17" xfId="8119"/>
    <cellStyle name="Comma 2 18" xfId="14690"/>
    <cellStyle name="Comma 2 19" xfId="20399"/>
    <cellStyle name="Comma 2 2" xfId="293"/>
    <cellStyle name="Comma 2 2 2" xfId="854"/>
    <cellStyle name="Comma 2 2 2 2" xfId="1350"/>
    <cellStyle name="Comma 2 2 2 2 2" xfId="3858"/>
    <cellStyle name="Comma 2 2 2 2 2 2" xfId="6986"/>
    <cellStyle name="Comma 2 2 2 2 2 2 2" xfId="13228"/>
    <cellStyle name="Comma 2 2 2 2 2 2 3" xfId="19383"/>
    <cellStyle name="Comma 2 2 2 2 2 2 4" xfId="25510"/>
    <cellStyle name="Comma 2 2 2 2 2 3" xfId="10141"/>
    <cellStyle name="Comma 2 2 2 2 2 4" xfId="16306"/>
    <cellStyle name="Comma 2 2 2 2 2 5" xfId="22434"/>
    <cellStyle name="Comma 2 2 2 3" xfId="1326"/>
    <cellStyle name="Comma 2 2 2 4" xfId="2362"/>
    <cellStyle name="Comma 2 2 2 4 2" xfId="3860"/>
    <cellStyle name="Comma 2 2 2 4 2 2" xfId="6988"/>
    <cellStyle name="Comma 2 2 2 4 2 2 2" xfId="13230"/>
    <cellStyle name="Comma 2 2 2 4 2 2 3" xfId="19385"/>
    <cellStyle name="Comma 2 2 2 4 2 2 4" xfId="25512"/>
    <cellStyle name="Comma 2 2 2 4 2 3" xfId="10143"/>
    <cellStyle name="Comma 2 2 2 4 2 4" xfId="16308"/>
    <cellStyle name="Comma 2 2 2 4 2 5" xfId="22436"/>
    <cellStyle name="Comma 2 2 2 4 3" xfId="3859"/>
    <cellStyle name="Comma 2 2 2 4 3 2" xfId="6987"/>
    <cellStyle name="Comma 2 2 2 4 3 2 2" xfId="13229"/>
    <cellStyle name="Comma 2 2 2 4 3 2 3" xfId="19384"/>
    <cellStyle name="Comma 2 2 2 4 3 2 4" xfId="25511"/>
    <cellStyle name="Comma 2 2 2 4 3 3" xfId="10142"/>
    <cellStyle name="Comma 2 2 2 4 3 4" xfId="16307"/>
    <cellStyle name="Comma 2 2 2 4 3 5" xfId="22435"/>
    <cellStyle name="Comma 2 2 2 4 4" xfId="5675"/>
    <cellStyle name="Comma 2 2 2 4 4 2" xfId="11917"/>
    <cellStyle name="Comma 2 2 2 4 4 3" xfId="18072"/>
    <cellStyle name="Comma 2 2 2 4 4 4" xfId="24199"/>
    <cellStyle name="Comma 2 2 2 4 5" xfId="8829"/>
    <cellStyle name="Comma 2 2 2 4 6" xfId="14692"/>
    <cellStyle name="Comma 2 2 2 4 7" xfId="21009"/>
    <cellStyle name="Comma 2 2 3" xfId="1059"/>
    <cellStyle name="Comma 2 2 3 2" xfId="2188"/>
    <cellStyle name="Comma 2 2 3 2 2" xfId="3862"/>
    <cellStyle name="Comma 2 2 3 2 2 2" xfId="6990"/>
    <cellStyle name="Comma 2 2 3 2 2 2 2" xfId="13232"/>
    <cellStyle name="Comma 2 2 3 2 2 2 3" xfId="19387"/>
    <cellStyle name="Comma 2 2 3 2 2 2 4" xfId="25514"/>
    <cellStyle name="Comma 2 2 3 2 2 3" xfId="10145"/>
    <cellStyle name="Comma 2 2 3 2 2 4" xfId="16310"/>
    <cellStyle name="Comma 2 2 3 2 2 5" xfId="22438"/>
    <cellStyle name="Comma 2 2 3 2 3" xfId="3861"/>
    <cellStyle name="Comma 2 2 3 2 3 2" xfId="6989"/>
    <cellStyle name="Comma 2 2 3 2 3 2 2" xfId="13231"/>
    <cellStyle name="Comma 2 2 3 2 3 2 3" xfId="19386"/>
    <cellStyle name="Comma 2 2 3 2 3 2 4" xfId="25513"/>
    <cellStyle name="Comma 2 2 3 2 3 3" xfId="10144"/>
    <cellStyle name="Comma 2 2 3 2 3 4" xfId="16309"/>
    <cellStyle name="Comma 2 2 3 2 3 5" xfId="22437"/>
    <cellStyle name="Comma 2 2 3 2 4" xfId="5501"/>
    <cellStyle name="Comma 2 2 3 2 4 2" xfId="11743"/>
    <cellStyle name="Comma 2 2 3 2 4 3" xfId="17898"/>
    <cellStyle name="Comma 2 2 3 2 4 4" xfId="24025"/>
    <cellStyle name="Comma 2 2 3 2 5" xfId="8655"/>
    <cellStyle name="Comma 2 2 3 2 6" xfId="14693"/>
    <cellStyle name="Comma 2 2 3 2 7" xfId="20835"/>
    <cellStyle name="Comma 2 2 4" xfId="747"/>
    <cellStyle name="Comma 2 2 4 2" xfId="3863"/>
    <cellStyle name="Comma 2 2 4 2 2" xfId="6991"/>
    <cellStyle name="Comma 2 2 4 2 2 2" xfId="13233"/>
    <cellStyle name="Comma 2 2 4 2 2 3" xfId="19388"/>
    <cellStyle name="Comma 2 2 4 2 2 4" xfId="25515"/>
    <cellStyle name="Comma 2 2 4 2 3" xfId="10146"/>
    <cellStyle name="Comma 2 2 4 2 4" xfId="16311"/>
    <cellStyle name="Comma 2 2 4 2 5" xfId="22439"/>
    <cellStyle name="Comma 2 2 5" xfId="1287"/>
    <cellStyle name="Comma 2 2 5 2" xfId="3865"/>
    <cellStyle name="Comma 2 2 5 2 2" xfId="6993"/>
    <cellStyle name="Comma 2 2 5 2 2 2" xfId="13235"/>
    <cellStyle name="Comma 2 2 5 2 2 3" xfId="19390"/>
    <cellStyle name="Comma 2 2 5 2 2 4" xfId="25517"/>
    <cellStyle name="Comma 2 2 5 2 3" xfId="10148"/>
    <cellStyle name="Comma 2 2 5 2 4" xfId="16313"/>
    <cellStyle name="Comma 2 2 5 2 5" xfId="22441"/>
    <cellStyle name="Comma 2 2 5 3" xfId="3864"/>
    <cellStyle name="Comma 2 2 5 3 2" xfId="6992"/>
    <cellStyle name="Comma 2 2 5 3 2 2" xfId="13234"/>
    <cellStyle name="Comma 2 2 5 3 2 3" xfId="19389"/>
    <cellStyle name="Comma 2 2 5 3 2 4" xfId="25516"/>
    <cellStyle name="Comma 2 2 5 3 3" xfId="10147"/>
    <cellStyle name="Comma 2 2 5 3 4" xfId="16312"/>
    <cellStyle name="Comma 2 2 5 3 5" xfId="22440"/>
    <cellStyle name="Comma 2 2 5 4" xfId="5216"/>
    <cellStyle name="Comma 2 2 5 4 2" xfId="11458"/>
    <cellStyle name="Comma 2 2 5 4 3" xfId="17613"/>
    <cellStyle name="Comma 2 2 5 4 4" xfId="23740"/>
    <cellStyle name="Comma 2 2 5 5" xfId="8372"/>
    <cellStyle name="Comma 2 2 5 6" xfId="14694"/>
    <cellStyle name="Comma 2 2 5 7" xfId="20554"/>
    <cellStyle name="Comma 2 2 6" xfId="359"/>
    <cellStyle name="Comma 2 3" xfId="292"/>
    <cellStyle name="Comma 2 3 2" xfId="1149"/>
    <cellStyle name="Comma 2 3 2 2" xfId="3867"/>
    <cellStyle name="Comma 2 3 2 2 2" xfId="6995"/>
    <cellStyle name="Comma 2 3 2 2 2 2" xfId="13237"/>
    <cellStyle name="Comma 2 3 2 2 2 3" xfId="19392"/>
    <cellStyle name="Comma 2 3 2 2 2 4" xfId="25519"/>
    <cellStyle name="Comma 2 3 2 2 3" xfId="10150"/>
    <cellStyle name="Comma 2 3 2 2 4" xfId="16315"/>
    <cellStyle name="Comma 2 3 2 2 5" xfId="22443"/>
    <cellStyle name="Comma 2 3 2 3" xfId="3866"/>
    <cellStyle name="Comma 2 3 2 3 2" xfId="6994"/>
    <cellStyle name="Comma 2 3 2 3 2 2" xfId="13236"/>
    <cellStyle name="Comma 2 3 2 3 2 3" xfId="19391"/>
    <cellStyle name="Comma 2 3 2 3 2 4" xfId="25518"/>
    <cellStyle name="Comma 2 3 2 3 3" xfId="10149"/>
    <cellStyle name="Comma 2 3 2 3 4" xfId="16314"/>
    <cellStyle name="Comma 2 3 2 3 5" xfId="22442"/>
    <cellStyle name="Comma 2 3 2 4" xfId="5181"/>
    <cellStyle name="Comma 2 3 2 4 2" xfId="11424"/>
    <cellStyle name="Comma 2 3 2 4 3" xfId="17579"/>
    <cellStyle name="Comma 2 3 2 4 4" xfId="23706"/>
    <cellStyle name="Comma 2 3 2 5" xfId="8339"/>
    <cellStyle name="Comma 2 3 2 6" xfId="14695"/>
    <cellStyle name="Comma 2 3 2 7" xfId="20521"/>
    <cellStyle name="Comma 2 3 3" xfId="2266"/>
    <cellStyle name="Comma 2 3 3 2" xfId="3869"/>
    <cellStyle name="Comma 2 3 3 2 2" xfId="6997"/>
    <cellStyle name="Comma 2 3 3 2 2 2" xfId="13239"/>
    <cellStyle name="Comma 2 3 3 2 2 3" xfId="19394"/>
    <cellStyle name="Comma 2 3 3 2 2 4" xfId="25521"/>
    <cellStyle name="Comma 2 3 3 2 3" xfId="10152"/>
    <cellStyle name="Comma 2 3 3 2 4" xfId="16317"/>
    <cellStyle name="Comma 2 3 3 2 5" xfId="22445"/>
    <cellStyle name="Comma 2 3 3 3" xfId="3868"/>
    <cellStyle name="Comma 2 3 3 3 2" xfId="6996"/>
    <cellStyle name="Comma 2 3 3 3 2 2" xfId="13238"/>
    <cellStyle name="Comma 2 3 3 3 2 3" xfId="19393"/>
    <cellStyle name="Comma 2 3 3 3 2 4" xfId="25520"/>
    <cellStyle name="Comma 2 3 3 3 3" xfId="10151"/>
    <cellStyle name="Comma 2 3 3 3 4" xfId="16316"/>
    <cellStyle name="Comma 2 3 3 3 5" xfId="22444"/>
    <cellStyle name="Comma 2 3 3 4" xfId="5579"/>
    <cellStyle name="Comma 2 3 3 4 2" xfId="11821"/>
    <cellStyle name="Comma 2 3 3 4 3" xfId="17976"/>
    <cellStyle name="Comma 2 3 3 4 4" xfId="24103"/>
    <cellStyle name="Comma 2 3 3 5" xfId="8733"/>
    <cellStyle name="Comma 2 3 3 6" xfId="14696"/>
    <cellStyle name="Comma 2 3 3 7" xfId="20913"/>
    <cellStyle name="Comma 2 3 4" xfId="360"/>
    <cellStyle name="Comma 2 4" xfId="361"/>
    <cellStyle name="Comma 2 4 2" xfId="2448"/>
    <cellStyle name="Comma 2 4 2 2" xfId="3871"/>
    <cellStyle name="Comma 2 4 2 2 2" xfId="6999"/>
    <cellStyle name="Comma 2 4 2 2 2 2" xfId="13241"/>
    <cellStyle name="Comma 2 4 2 2 2 3" xfId="19396"/>
    <cellStyle name="Comma 2 4 2 2 2 4" xfId="25523"/>
    <cellStyle name="Comma 2 4 2 2 3" xfId="10154"/>
    <cellStyle name="Comma 2 4 2 2 4" xfId="16319"/>
    <cellStyle name="Comma 2 4 2 2 5" xfId="22447"/>
    <cellStyle name="Comma 2 4 2 3" xfId="3870"/>
    <cellStyle name="Comma 2 4 2 3 2" xfId="6998"/>
    <cellStyle name="Comma 2 4 2 3 2 2" xfId="13240"/>
    <cellStyle name="Comma 2 4 2 3 2 3" xfId="19395"/>
    <cellStyle name="Comma 2 4 2 3 2 4" xfId="25522"/>
    <cellStyle name="Comma 2 4 2 3 3" xfId="10153"/>
    <cellStyle name="Comma 2 4 2 3 4" xfId="16318"/>
    <cellStyle name="Comma 2 4 2 3 5" xfId="22446"/>
    <cellStyle name="Comma 2 4 2 4" xfId="5761"/>
    <cellStyle name="Comma 2 4 2 4 2" xfId="12003"/>
    <cellStyle name="Comma 2 4 2 4 3" xfId="18158"/>
    <cellStyle name="Comma 2 4 2 4 4" xfId="24285"/>
    <cellStyle name="Comma 2 4 2 5" xfId="8915"/>
    <cellStyle name="Comma 2 4 2 6" xfId="14697"/>
    <cellStyle name="Comma 2 4 2 7" xfId="21095"/>
    <cellStyle name="Comma 2 4 3" xfId="2276"/>
    <cellStyle name="Comma 2 4 3 2" xfId="3873"/>
    <cellStyle name="Comma 2 4 3 2 2" xfId="7001"/>
    <cellStyle name="Comma 2 4 3 2 2 2" xfId="13243"/>
    <cellStyle name="Comma 2 4 3 2 2 3" xfId="19398"/>
    <cellStyle name="Comma 2 4 3 2 2 4" xfId="25525"/>
    <cellStyle name="Comma 2 4 3 2 3" xfId="10156"/>
    <cellStyle name="Comma 2 4 3 2 4" xfId="16321"/>
    <cellStyle name="Comma 2 4 3 2 5" xfId="22449"/>
    <cellStyle name="Comma 2 4 3 3" xfId="3872"/>
    <cellStyle name="Comma 2 4 3 3 2" xfId="7000"/>
    <cellStyle name="Comma 2 4 3 3 2 2" xfId="13242"/>
    <cellStyle name="Comma 2 4 3 3 2 3" xfId="19397"/>
    <cellStyle name="Comma 2 4 3 3 2 4" xfId="25524"/>
    <cellStyle name="Comma 2 4 3 3 3" xfId="10155"/>
    <cellStyle name="Comma 2 4 3 3 4" xfId="16320"/>
    <cellStyle name="Comma 2 4 3 3 5" xfId="22448"/>
    <cellStyle name="Comma 2 4 3 4" xfId="5589"/>
    <cellStyle name="Comma 2 4 3 4 2" xfId="11831"/>
    <cellStyle name="Comma 2 4 3 4 3" xfId="17986"/>
    <cellStyle name="Comma 2 4 3 4 4" xfId="24113"/>
    <cellStyle name="Comma 2 4 3 5" xfId="8743"/>
    <cellStyle name="Comma 2 4 3 6" xfId="14698"/>
    <cellStyle name="Comma 2 4 3 7" xfId="20923"/>
    <cellStyle name="Comma 2 4 4" xfId="2063"/>
    <cellStyle name="Comma 2 4 4 2" xfId="3875"/>
    <cellStyle name="Comma 2 4 4 2 2" xfId="7003"/>
    <cellStyle name="Comma 2 4 4 2 2 2" xfId="13245"/>
    <cellStyle name="Comma 2 4 4 2 2 3" xfId="19400"/>
    <cellStyle name="Comma 2 4 4 2 2 4" xfId="25527"/>
    <cellStyle name="Comma 2 4 4 2 3" xfId="10158"/>
    <cellStyle name="Comma 2 4 4 2 4" xfId="16323"/>
    <cellStyle name="Comma 2 4 4 2 5" xfId="22451"/>
    <cellStyle name="Comma 2 4 4 3" xfId="3874"/>
    <cellStyle name="Comma 2 4 4 3 2" xfId="7002"/>
    <cellStyle name="Comma 2 4 4 3 2 2" xfId="13244"/>
    <cellStyle name="Comma 2 4 4 3 2 3" xfId="19399"/>
    <cellStyle name="Comma 2 4 4 3 2 4" xfId="25526"/>
    <cellStyle name="Comma 2 4 4 3 3" xfId="10157"/>
    <cellStyle name="Comma 2 4 4 3 4" xfId="16322"/>
    <cellStyle name="Comma 2 4 4 3 5" xfId="22450"/>
    <cellStyle name="Comma 2 4 4 4" xfId="5401"/>
    <cellStyle name="Comma 2 4 4 4 2" xfId="11643"/>
    <cellStyle name="Comma 2 4 4 4 3" xfId="17798"/>
    <cellStyle name="Comma 2 4 4 4 4" xfId="23925"/>
    <cellStyle name="Comma 2 4 4 5" xfId="8556"/>
    <cellStyle name="Comma 2 4 4 6" xfId="14699"/>
    <cellStyle name="Comma 2 4 4 7" xfId="20736"/>
    <cellStyle name="Comma 2 4 5" xfId="3876"/>
    <cellStyle name="Comma 2 4 6" xfId="3877"/>
    <cellStyle name="Comma 2 4 6 2" xfId="7004"/>
    <cellStyle name="Comma 2 4 6 2 2" xfId="13246"/>
    <cellStyle name="Comma 2 4 6 2 3" xfId="19401"/>
    <cellStyle name="Comma 2 4 6 2 4" xfId="25528"/>
    <cellStyle name="Comma 2 4 6 3" xfId="10159"/>
    <cellStyle name="Comma 2 4 6 4" xfId="16324"/>
    <cellStyle name="Comma 2 4 6 5" xfId="22452"/>
    <cellStyle name="Comma 2 4 7" xfId="7954"/>
    <cellStyle name="Comma 2 5" xfId="362"/>
    <cellStyle name="Comma 2 5 2" xfId="2071"/>
    <cellStyle name="Comma 2 6" xfId="834"/>
    <cellStyle name="Comma 2 6 2" xfId="2345"/>
    <cellStyle name="Comma 2 6 2 2" xfId="3879"/>
    <cellStyle name="Comma 2 6 2 2 2" xfId="7006"/>
    <cellStyle name="Comma 2 6 2 2 2 2" xfId="13248"/>
    <cellStyle name="Comma 2 6 2 2 2 3" xfId="19403"/>
    <cellStyle name="Comma 2 6 2 2 2 4" xfId="25530"/>
    <cellStyle name="Comma 2 6 2 2 3" xfId="10161"/>
    <cellStyle name="Comma 2 6 2 2 4" xfId="16326"/>
    <cellStyle name="Comma 2 6 2 2 5" xfId="22454"/>
    <cellStyle name="Comma 2 6 2 3" xfId="3878"/>
    <cellStyle name="Comma 2 6 2 3 2" xfId="7005"/>
    <cellStyle name="Comma 2 6 2 3 2 2" xfId="13247"/>
    <cellStyle name="Comma 2 6 2 3 2 3" xfId="19402"/>
    <cellStyle name="Comma 2 6 2 3 2 4" xfId="25529"/>
    <cellStyle name="Comma 2 6 2 3 3" xfId="10160"/>
    <cellStyle name="Comma 2 6 2 3 4" xfId="16325"/>
    <cellStyle name="Comma 2 6 2 3 5" xfId="22453"/>
    <cellStyle name="Comma 2 6 2 4" xfId="5658"/>
    <cellStyle name="Comma 2 6 2 4 2" xfId="11900"/>
    <cellStyle name="Comma 2 6 2 4 3" xfId="18055"/>
    <cellStyle name="Comma 2 6 2 4 4" xfId="24182"/>
    <cellStyle name="Comma 2 6 2 5" xfId="8812"/>
    <cellStyle name="Comma 2 6 2 6" xfId="14700"/>
    <cellStyle name="Comma 2 6 2 7" xfId="20992"/>
    <cellStyle name="Comma 2 6 3" xfId="2095"/>
    <cellStyle name="Comma 2 6 3 2" xfId="3881"/>
    <cellStyle name="Comma 2 6 3 2 2" xfId="7008"/>
    <cellStyle name="Comma 2 6 3 2 2 2" xfId="13250"/>
    <cellStyle name="Comma 2 6 3 2 2 3" xfId="19405"/>
    <cellStyle name="Comma 2 6 3 2 2 4" xfId="25532"/>
    <cellStyle name="Comma 2 6 3 2 3" xfId="10163"/>
    <cellStyle name="Comma 2 6 3 2 4" xfId="16328"/>
    <cellStyle name="Comma 2 6 3 2 5" xfId="22456"/>
    <cellStyle name="Comma 2 6 3 3" xfId="3880"/>
    <cellStyle name="Comma 2 6 3 3 2" xfId="7007"/>
    <cellStyle name="Comma 2 6 3 3 2 2" xfId="13249"/>
    <cellStyle name="Comma 2 6 3 3 2 3" xfId="19404"/>
    <cellStyle name="Comma 2 6 3 3 2 4" xfId="25531"/>
    <cellStyle name="Comma 2 6 3 3 3" xfId="10162"/>
    <cellStyle name="Comma 2 6 3 3 4" xfId="16327"/>
    <cellStyle name="Comma 2 6 3 3 5" xfId="22455"/>
    <cellStyle name="Comma 2 6 3 4" xfId="5412"/>
    <cellStyle name="Comma 2 6 3 4 2" xfId="11654"/>
    <cellStyle name="Comma 2 6 3 4 3" xfId="17809"/>
    <cellStyle name="Comma 2 6 3 4 4" xfId="23936"/>
    <cellStyle name="Comma 2 6 3 5" xfId="8566"/>
    <cellStyle name="Comma 2 6 3 6" xfId="14701"/>
    <cellStyle name="Comma 2 6 3 7" xfId="20746"/>
    <cellStyle name="Comma 2 7" xfId="1172"/>
    <cellStyle name="Comma 2 7 2" xfId="2111"/>
    <cellStyle name="Comma 2 7 2 2" xfId="3883"/>
    <cellStyle name="Comma 2 7 2 2 2" xfId="7010"/>
    <cellStyle name="Comma 2 7 2 2 2 2" xfId="13252"/>
    <cellStyle name="Comma 2 7 2 2 2 3" xfId="19407"/>
    <cellStyle name="Comma 2 7 2 2 2 4" xfId="25534"/>
    <cellStyle name="Comma 2 7 2 2 3" xfId="10165"/>
    <cellStyle name="Comma 2 7 2 2 4" xfId="16330"/>
    <cellStyle name="Comma 2 7 2 2 5" xfId="22458"/>
    <cellStyle name="Comma 2 7 2 3" xfId="3882"/>
    <cellStyle name="Comma 2 7 2 3 2" xfId="7009"/>
    <cellStyle name="Comma 2 7 2 3 2 2" xfId="13251"/>
    <cellStyle name="Comma 2 7 2 3 2 3" xfId="19406"/>
    <cellStyle name="Comma 2 7 2 3 2 4" xfId="25533"/>
    <cellStyle name="Comma 2 7 2 3 3" xfId="10164"/>
    <cellStyle name="Comma 2 7 2 3 4" xfId="16329"/>
    <cellStyle name="Comma 2 7 2 3 5" xfId="22457"/>
    <cellStyle name="Comma 2 7 2 4" xfId="5424"/>
    <cellStyle name="Comma 2 7 2 4 2" xfId="11666"/>
    <cellStyle name="Comma 2 7 2 4 3" xfId="17821"/>
    <cellStyle name="Comma 2 7 2 4 4" xfId="23948"/>
    <cellStyle name="Comma 2 7 2 5" xfId="8578"/>
    <cellStyle name="Comma 2 7 2 6" xfId="14702"/>
    <cellStyle name="Comma 2 7 2 7" xfId="20758"/>
    <cellStyle name="Comma 2 8" xfId="1205"/>
    <cellStyle name="Comma 2 8 2" xfId="3884"/>
    <cellStyle name="Comma 2 8 2 2" xfId="7011"/>
    <cellStyle name="Comma 2 8 2 2 2" xfId="13253"/>
    <cellStyle name="Comma 2 8 2 2 3" xfId="19408"/>
    <cellStyle name="Comma 2 8 2 2 4" xfId="25535"/>
    <cellStyle name="Comma 2 8 2 3" xfId="10166"/>
    <cellStyle name="Comma 2 8 2 4" xfId="16331"/>
    <cellStyle name="Comma 2 8 2 5" xfId="22459"/>
    <cellStyle name="Comma 2 9" xfId="480"/>
    <cellStyle name="Comma 2 9 2" xfId="3885"/>
    <cellStyle name="Comma 2 9 2 2" xfId="7012"/>
    <cellStyle name="Comma 2 9 2 2 2" xfId="13254"/>
    <cellStyle name="Comma 2 9 2 2 3" xfId="19409"/>
    <cellStyle name="Comma 2 9 2 2 4" xfId="25536"/>
    <cellStyle name="Comma 2 9 2 3" xfId="10167"/>
    <cellStyle name="Comma 2 9 2 4" xfId="16332"/>
    <cellStyle name="Comma 2 9 2 5" xfId="22460"/>
    <cellStyle name="Comma 2_Sheet4" xfId="1060"/>
    <cellStyle name="Comma 20" xfId="1225"/>
    <cellStyle name="Comma 20 2" xfId="3887"/>
    <cellStyle name="Comma 20 2 2" xfId="7014"/>
    <cellStyle name="Comma 20 2 2 2" xfId="13256"/>
    <cellStyle name="Comma 20 2 2 3" xfId="19411"/>
    <cellStyle name="Comma 20 2 2 4" xfId="25538"/>
    <cellStyle name="Comma 20 2 3" xfId="10169"/>
    <cellStyle name="Comma 20 2 4" xfId="16334"/>
    <cellStyle name="Comma 20 2 5" xfId="22462"/>
    <cellStyle name="Comma 20 3" xfId="3886"/>
    <cellStyle name="Comma 20 3 2" xfId="7013"/>
    <cellStyle name="Comma 20 3 2 2" xfId="13255"/>
    <cellStyle name="Comma 20 3 2 3" xfId="19410"/>
    <cellStyle name="Comma 20 3 2 4" xfId="25537"/>
    <cellStyle name="Comma 20 3 3" xfId="10168"/>
    <cellStyle name="Comma 20 3 4" xfId="16333"/>
    <cellStyle name="Comma 20 3 5" xfId="22461"/>
    <cellStyle name="Comma 20 4" xfId="5204"/>
    <cellStyle name="Comma 20 4 2" xfId="11446"/>
    <cellStyle name="Comma 20 4 3" xfId="17601"/>
    <cellStyle name="Comma 20 4 4" xfId="23728"/>
    <cellStyle name="Comma 20 5" xfId="8362"/>
    <cellStyle name="Comma 20 6" xfId="14703"/>
    <cellStyle name="Comma 20 7" xfId="20544"/>
    <cellStyle name="Comma 21" xfId="1203"/>
    <cellStyle name="Comma 21 2" xfId="3889"/>
    <cellStyle name="Comma 21 2 2" xfId="7016"/>
    <cellStyle name="Comma 21 2 2 2" xfId="13258"/>
    <cellStyle name="Comma 21 2 2 3" xfId="19413"/>
    <cellStyle name="Comma 21 2 2 4" xfId="25540"/>
    <cellStyle name="Comma 21 2 3" xfId="10171"/>
    <cellStyle name="Comma 21 2 4" xfId="16336"/>
    <cellStyle name="Comma 21 2 5" xfId="22464"/>
    <cellStyle name="Comma 21 3" xfId="3888"/>
    <cellStyle name="Comma 21 3 2" xfId="7015"/>
    <cellStyle name="Comma 21 3 2 2" xfId="13257"/>
    <cellStyle name="Comma 21 3 2 3" xfId="19412"/>
    <cellStyle name="Comma 21 3 2 4" xfId="25539"/>
    <cellStyle name="Comma 21 3 3" xfId="10170"/>
    <cellStyle name="Comma 21 3 4" xfId="16335"/>
    <cellStyle name="Comma 21 3 5" xfId="22463"/>
    <cellStyle name="Comma 21 4" xfId="5195"/>
    <cellStyle name="Comma 21 4 2" xfId="11437"/>
    <cellStyle name="Comma 21 4 3" xfId="17592"/>
    <cellStyle name="Comma 21 4 4" xfId="23719"/>
    <cellStyle name="Comma 21 5" xfId="8353"/>
    <cellStyle name="Comma 21 6" xfId="14704"/>
    <cellStyle name="Comma 21 7" xfId="20535"/>
    <cellStyle name="Comma 22" xfId="1211"/>
    <cellStyle name="Comma 22 2" xfId="3891"/>
    <cellStyle name="Comma 22 2 2" xfId="7018"/>
    <cellStyle name="Comma 22 2 2 2" xfId="13260"/>
    <cellStyle name="Comma 22 2 2 3" xfId="19415"/>
    <cellStyle name="Comma 22 2 2 4" xfId="25542"/>
    <cellStyle name="Comma 22 2 3" xfId="10173"/>
    <cellStyle name="Comma 22 2 4" xfId="16338"/>
    <cellStyle name="Comma 22 2 5" xfId="22466"/>
    <cellStyle name="Comma 22 3" xfId="3890"/>
    <cellStyle name="Comma 22 3 2" xfId="7017"/>
    <cellStyle name="Comma 22 3 2 2" xfId="13259"/>
    <cellStyle name="Comma 22 3 2 3" xfId="19414"/>
    <cellStyle name="Comma 22 3 2 4" xfId="25541"/>
    <cellStyle name="Comma 22 3 3" xfId="10172"/>
    <cellStyle name="Comma 22 3 4" xfId="16337"/>
    <cellStyle name="Comma 22 3 5" xfId="22465"/>
    <cellStyle name="Comma 22 4" xfId="5199"/>
    <cellStyle name="Comma 22 4 2" xfId="11441"/>
    <cellStyle name="Comma 22 4 3" xfId="17596"/>
    <cellStyle name="Comma 22 4 4" xfId="23723"/>
    <cellStyle name="Comma 22 5" xfId="8357"/>
    <cellStyle name="Comma 22 6" xfId="14705"/>
    <cellStyle name="Comma 22 7" xfId="20539"/>
    <cellStyle name="Comma 23" xfId="1228"/>
    <cellStyle name="Comma 23 2" xfId="3893"/>
    <cellStyle name="Comma 23 2 2" xfId="7020"/>
    <cellStyle name="Comma 23 2 2 2" xfId="13262"/>
    <cellStyle name="Comma 23 2 2 3" xfId="19417"/>
    <cellStyle name="Comma 23 2 2 4" xfId="25544"/>
    <cellStyle name="Comma 23 2 3" xfId="10175"/>
    <cellStyle name="Comma 23 2 4" xfId="16340"/>
    <cellStyle name="Comma 23 2 5" xfId="22468"/>
    <cellStyle name="Comma 23 3" xfId="3892"/>
    <cellStyle name="Comma 23 3 2" xfId="7019"/>
    <cellStyle name="Comma 23 3 2 2" xfId="13261"/>
    <cellStyle name="Comma 23 3 2 3" xfId="19416"/>
    <cellStyle name="Comma 23 3 2 4" xfId="25543"/>
    <cellStyle name="Comma 23 3 3" xfId="10174"/>
    <cellStyle name="Comma 23 3 4" xfId="16339"/>
    <cellStyle name="Comma 23 3 5" xfId="22467"/>
    <cellStyle name="Comma 23 4" xfId="5206"/>
    <cellStyle name="Comma 23 4 2" xfId="11448"/>
    <cellStyle name="Comma 23 4 3" xfId="17603"/>
    <cellStyle name="Comma 23 4 4" xfId="23730"/>
    <cellStyle name="Comma 23 5" xfId="8364"/>
    <cellStyle name="Comma 23 6" xfId="14706"/>
    <cellStyle name="Comma 23 7" xfId="20546"/>
    <cellStyle name="Comma 24" xfId="1223"/>
    <cellStyle name="Comma 24 2" xfId="3895"/>
    <cellStyle name="Comma 24 2 2" xfId="7022"/>
    <cellStyle name="Comma 24 2 2 2" xfId="13264"/>
    <cellStyle name="Comma 24 2 2 3" xfId="19419"/>
    <cellStyle name="Comma 24 2 2 4" xfId="25546"/>
    <cellStyle name="Comma 24 2 3" xfId="10177"/>
    <cellStyle name="Comma 24 2 4" xfId="16342"/>
    <cellStyle name="Comma 24 2 5" xfId="22470"/>
    <cellStyle name="Comma 24 3" xfId="3894"/>
    <cellStyle name="Comma 24 3 2" xfId="7021"/>
    <cellStyle name="Comma 24 3 2 2" xfId="13263"/>
    <cellStyle name="Comma 24 3 2 3" xfId="19418"/>
    <cellStyle name="Comma 24 3 2 4" xfId="25545"/>
    <cellStyle name="Comma 24 3 3" xfId="10176"/>
    <cellStyle name="Comma 24 3 4" xfId="16341"/>
    <cellStyle name="Comma 24 3 5" xfId="22469"/>
    <cellStyle name="Comma 24 4" xfId="5203"/>
    <cellStyle name="Comma 24 4 2" xfId="11445"/>
    <cellStyle name="Comma 24 4 3" xfId="17600"/>
    <cellStyle name="Comma 24 4 4" xfId="23727"/>
    <cellStyle name="Comma 24 5" xfId="8361"/>
    <cellStyle name="Comma 24 6" xfId="14707"/>
    <cellStyle name="Comma 24 7" xfId="20543"/>
    <cellStyle name="Comma 25" xfId="1230"/>
    <cellStyle name="Comma 25 2" xfId="3897"/>
    <cellStyle name="Comma 25 2 2" xfId="7024"/>
    <cellStyle name="Comma 25 2 2 2" xfId="13266"/>
    <cellStyle name="Comma 25 2 2 3" xfId="19421"/>
    <cellStyle name="Comma 25 2 2 4" xfId="25548"/>
    <cellStyle name="Comma 25 2 3" xfId="10179"/>
    <cellStyle name="Comma 25 2 4" xfId="16344"/>
    <cellStyle name="Comma 25 2 5" xfId="22472"/>
    <cellStyle name="Comma 25 3" xfId="3896"/>
    <cellStyle name="Comma 25 3 2" xfId="7023"/>
    <cellStyle name="Comma 25 3 2 2" xfId="13265"/>
    <cellStyle name="Comma 25 3 2 3" xfId="19420"/>
    <cellStyle name="Comma 25 3 2 4" xfId="25547"/>
    <cellStyle name="Comma 25 3 3" xfId="10178"/>
    <cellStyle name="Comma 25 3 4" xfId="16343"/>
    <cellStyle name="Comma 25 3 5" xfId="22471"/>
    <cellStyle name="Comma 25 4" xfId="5208"/>
    <cellStyle name="Comma 25 4 2" xfId="11450"/>
    <cellStyle name="Comma 25 4 3" xfId="17605"/>
    <cellStyle name="Comma 25 4 4" xfId="23732"/>
    <cellStyle name="Comma 25 5" xfId="8365"/>
    <cellStyle name="Comma 25 6" xfId="14708"/>
    <cellStyle name="Comma 25 7" xfId="20547"/>
    <cellStyle name="Comma 26" xfId="1815"/>
    <cellStyle name="Comma 27" xfId="2519"/>
    <cellStyle name="Comma 28" xfId="2517"/>
    <cellStyle name="Comma 29" xfId="2521"/>
    <cellStyle name="Comma 3" xfId="177"/>
    <cellStyle name="Comma 3 10" xfId="7955"/>
    <cellStyle name="Comma 3 10 2" xfId="11061"/>
    <cellStyle name="Comma 3 10 3" xfId="17216"/>
    <cellStyle name="Comma 3 10 4" xfId="23343"/>
    <cellStyle name="Comma 3 11" xfId="14176"/>
    <cellStyle name="Comma 3 12" xfId="14709"/>
    <cellStyle name="Comma 3 13" xfId="20404"/>
    <cellStyle name="Comma 3 2" xfId="832"/>
    <cellStyle name="Comma 3 2 2" xfId="3898"/>
    <cellStyle name="Comma 3 2 3" xfId="3899"/>
    <cellStyle name="Comma 3 2 4" xfId="3900"/>
    <cellStyle name="Comma 3 2 4 2" xfId="7025"/>
    <cellStyle name="Comma 3 2 4 2 2" xfId="13267"/>
    <cellStyle name="Comma 3 2 4 2 3" xfId="19422"/>
    <cellStyle name="Comma 3 2 4 2 4" xfId="25549"/>
    <cellStyle name="Comma 3 2 4 3" xfId="10180"/>
    <cellStyle name="Comma 3 2 4 4" xfId="16345"/>
    <cellStyle name="Comma 3 2 4 5" xfId="22473"/>
    <cellStyle name="Comma 3 3" xfId="1171"/>
    <cellStyle name="Comma 3 3 2" xfId="3902"/>
    <cellStyle name="Comma 3 3 2 2" xfId="7027"/>
    <cellStyle name="Comma 3 3 2 2 2" xfId="13269"/>
    <cellStyle name="Comma 3 3 2 2 3" xfId="19424"/>
    <cellStyle name="Comma 3 3 2 2 4" xfId="25551"/>
    <cellStyle name="Comma 3 3 2 3" xfId="10182"/>
    <cellStyle name="Comma 3 3 2 4" xfId="16347"/>
    <cellStyle name="Comma 3 3 2 5" xfId="22475"/>
    <cellStyle name="Comma 3 3 3" xfId="3901"/>
    <cellStyle name="Comma 3 3 3 2" xfId="7026"/>
    <cellStyle name="Comma 3 3 3 2 2" xfId="13268"/>
    <cellStyle name="Comma 3 3 3 2 3" xfId="19423"/>
    <cellStyle name="Comma 3 3 3 2 4" xfId="25550"/>
    <cellStyle name="Comma 3 3 3 3" xfId="10181"/>
    <cellStyle name="Comma 3 3 3 4" xfId="16346"/>
    <cellStyle name="Comma 3 3 3 5" xfId="22474"/>
    <cellStyle name="Comma 3 3 4" xfId="5186"/>
    <cellStyle name="Comma 3 3 4 2" xfId="11429"/>
    <cellStyle name="Comma 3 3 4 3" xfId="17584"/>
    <cellStyle name="Comma 3 3 4 4" xfId="23711"/>
    <cellStyle name="Comma 3 3 5" xfId="8344"/>
    <cellStyle name="Comma 3 3 6" xfId="14710"/>
    <cellStyle name="Comma 3 3 7" xfId="20526"/>
    <cellStyle name="Comma 3 4" xfId="1209"/>
    <cellStyle name="Comma 3 5" xfId="1226"/>
    <cellStyle name="Comma 3 5 2" xfId="3904"/>
    <cellStyle name="Comma 3 5 2 2" xfId="7029"/>
    <cellStyle name="Comma 3 5 2 2 2" xfId="13271"/>
    <cellStyle name="Comma 3 5 2 2 3" xfId="19426"/>
    <cellStyle name="Comma 3 5 2 2 4" xfId="25553"/>
    <cellStyle name="Comma 3 5 2 3" xfId="10184"/>
    <cellStyle name="Comma 3 5 2 4" xfId="16349"/>
    <cellStyle name="Comma 3 5 2 5" xfId="22477"/>
    <cellStyle name="Comma 3 5 3" xfId="3903"/>
    <cellStyle name="Comma 3 5 3 2" xfId="7028"/>
    <cellStyle name="Comma 3 5 3 2 2" xfId="13270"/>
    <cellStyle name="Comma 3 5 3 2 3" xfId="19425"/>
    <cellStyle name="Comma 3 5 3 2 4" xfId="25552"/>
    <cellStyle name="Comma 3 5 3 3" xfId="10183"/>
    <cellStyle name="Comma 3 5 3 4" xfId="16348"/>
    <cellStyle name="Comma 3 5 3 5" xfId="22476"/>
    <cellStyle name="Comma 3 5 4" xfId="5205"/>
    <cellStyle name="Comma 3 5 4 2" xfId="11447"/>
    <cellStyle name="Comma 3 5 4 3" xfId="17602"/>
    <cellStyle name="Comma 3 5 4 4" xfId="23729"/>
    <cellStyle name="Comma 3 5 5" xfId="8363"/>
    <cellStyle name="Comma 3 5 6" xfId="14711"/>
    <cellStyle name="Comma 3 5 7" xfId="20545"/>
    <cellStyle name="Comma 3 6" xfId="1980"/>
    <cellStyle name="Comma 3 7" xfId="479"/>
    <cellStyle name="Comma 3 8" xfId="290"/>
    <cellStyle name="Comma 3 8 2" xfId="3906"/>
    <cellStyle name="Comma 3 8 2 2" xfId="7031"/>
    <cellStyle name="Comma 3 8 2 2 2" xfId="13273"/>
    <cellStyle name="Comma 3 8 2 2 3" xfId="19428"/>
    <cellStyle name="Comma 3 8 2 2 4" xfId="25555"/>
    <cellStyle name="Comma 3 8 2 3" xfId="10186"/>
    <cellStyle name="Comma 3 8 2 4" xfId="16351"/>
    <cellStyle name="Comma 3 8 2 5" xfId="22479"/>
    <cellStyle name="Comma 3 8 3" xfId="3905"/>
    <cellStyle name="Comma 3 8 3 2" xfId="7030"/>
    <cellStyle name="Comma 3 8 3 2 2" xfId="13272"/>
    <cellStyle name="Comma 3 8 3 2 3" xfId="19427"/>
    <cellStyle name="Comma 3 8 3 2 4" xfId="25554"/>
    <cellStyle name="Comma 3 8 3 3" xfId="10185"/>
    <cellStyle name="Comma 3 8 3 4" xfId="16350"/>
    <cellStyle name="Comma 3 8 3 5" xfId="22478"/>
    <cellStyle name="Comma 3 8 4" xfId="5058"/>
    <cellStyle name="Comma 3 8 4 2" xfId="11301"/>
    <cellStyle name="Comma 3 8 4 3" xfId="17456"/>
    <cellStyle name="Comma 3 8 4 4" xfId="23583"/>
    <cellStyle name="Comma 3 8 5" xfId="8216"/>
    <cellStyle name="Comma 3 8 6" xfId="15110"/>
    <cellStyle name="Comma 3 8 7" xfId="21238"/>
    <cellStyle name="Comma 3 9" xfId="3907"/>
    <cellStyle name="Comma 3 9 2" xfId="7032"/>
    <cellStyle name="Comma 3 9 2 2" xfId="13274"/>
    <cellStyle name="Comma 3 9 2 3" xfId="19429"/>
    <cellStyle name="Comma 3 9 2 4" xfId="25556"/>
    <cellStyle name="Comma 3 9 3" xfId="10187"/>
    <cellStyle name="Comma 3 9 4" xfId="16352"/>
    <cellStyle name="Comma 3 9 5" xfId="22480"/>
    <cellStyle name="Comma 30" xfId="2614"/>
    <cellStyle name="Comma 30 2" xfId="3909"/>
    <cellStyle name="Comma 30 2 2" xfId="7034"/>
    <cellStyle name="Comma 30 2 2 2" xfId="13276"/>
    <cellStyle name="Comma 30 2 2 3" xfId="19431"/>
    <cellStyle name="Comma 30 2 2 4" xfId="25558"/>
    <cellStyle name="Comma 30 2 3" xfId="10189"/>
    <cellStyle name="Comma 30 2 4" xfId="16354"/>
    <cellStyle name="Comma 30 2 5" xfId="22482"/>
    <cellStyle name="Comma 30 3" xfId="3908"/>
    <cellStyle name="Comma 30 3 2" xfId="7033"/>
    <cellStyle name="Comma 30 3 2 2" xfId="13275"/>
    <cellStyle name="Comma 30 3 2 3" xfId="19430"/>
    <cellStyle name="Comma 30 3 2 4" xfId="25557"/>
    <cellStyle name="Comma 30 3 3" xfId="10188"/>
    <cellStyle name="Comma 30 3 4" xfId="16353"/>
    <cellStyle name="Comma 30 3 5" xfId="22481"/>
    <cellStyle name="Comma 30 4" xfId="5778"/>
    <cellStyle name="Comma 30 4 2" xfId="12020"/>
    <cellStyle name="Comma 30 4 3" xfId="18175"/>
    <cellStyle name="Comma 30 4 4" xfId="24302"/>
    <cellStyle name="Comma 30 5" xfId="8932"/>
    <cellStyle name="Comma 30 6" xfId="14712"/>
    <cellStyle name="Comma 30 7" xfId="21112"/>
    <cellStyle name="Comma 31" xfId="2619"/>
    <cellStyle name="Comma 31 2" xfId="3911"/>
    <cellStyle name="Comma 31 2 2" xfId="7036"/>
    <cellStyle name="Comma 31 2 2 2" xfId="13278"/>
    <cellStyle name="Comma 31 2 2 3" xfId="19433"/>
    <cellStyle name="Comma 31 2 2 4" xfId="25560"/>
    <cellStyle name="Comma 31 2 3" xfId="10191"/>
    <cellStyle name="Comma 31 2 4" xfId="16356"/>
    <cellStyle name="Comma 31 2 5" xfId="22484"/>
    <cellStyle name="Comma 31 3" xfId="3910"/>
    <cellStyle name="Comma 31 3 2" xfId="7035"/>
    <cellStyle name="Comma 31 3 2 2" xfId="13277"/>
    <cellStyle name="Comma 31 3 2 3" xfId="19432"/>
    <cellStyle name="Comma 31 3 2 4" xfId="25559"/>
    <cellStyle name="Comma 31 3 3" xfId="10190"/>
    <cellStyle name="Comma 31 3 4" xfId="16355"/>
    <cellStyle name="Comma 31 3 5" xfId="22483"/>
    <cellStyle name="Comma 31 4" xfId="5779"/>
    <cellStyle name="Comma 31 4 2" xfId="12021"/>
    <cellStyle name="Comma 31 4 3" xfId="18176"/>
    <cellStyle name="Comma 31 4 4" xfId="24303"/>
    <cellStyle name="Comma 31 5" xfId="8933"/>
    <cellStyle name="Comma 31 6" xfId="14713"/>
    <cellStyle name="Comma 31 7" xfId="21113"/>
    <cellStyle name="Comma 32" xfId="2628"/>
    <cellStyle name="Comma 32 2" xfId="3913"/>
    <cellStyle name="Comma 32 2 2" xfId="7038"/>
    <cellStyle name="Comma 32 2 2 2" xfId="13280"/>
    <cellStyle name="Comma 32 2 2 3" xfId="19435"/>
    <cellStyle name="Comma 32 2 2 4" xfId="25562"/>
    <cellStyle name="Comma 32 2 3" xfId="10193"/>
    <cellStyle name="Comma 32 2 4" xfId="16358"/>
    <cellStyle name="Comma 32 2 5" xfId="22486"/>
    <cellStyle name="Comma 32 3" xfId="3912"/>
    <cellStyle name="Comma 32 3 2" xfId="7037"/>
    <cellStyle name="Comma 32 3 2 2" xfId="13279"/>
    <cellStyle name="Comma 32 3 2 3" xfId="19434"/>
    <cellStyle name="Comma 32 3 2 4" xfId="25561"/>
    <cellStyle name="Comma 32 3 3" xfId="10192"/>
    <cellStyle name="Comma 32 3 4" xfId="16357"/>
    <cellStyle name="Comma 32 3 5" xfId="22485"/>
    <cellStyle name="Comma 32 4" xfId="5785"/>
    <cellStyle name="Comma 32 4 2" xfId="12027"/>
    <cellStyle name="Comma 32 4 3" xfId="18182"/>
    <cellStyle name="Comma 32 4 4" xfId="24309"/>
    <cellStyle name="Comma 32 5" xfId="8939"/>
    <cellStyle name="Comma 32 6" xfId="14714"/>
    <cellStyle name="Comma 32 7" xfId="21119"/>
    <cellStyle name="Comma 33" xfId="2625"/>
    <cellStyle name="Comma 33 2" xfId="3915"/>
    <cellStyle name="Comma 33 2 2" xfId="7040"/>
    <cellStyle name="Comma 33 2 2 2" xfId="13282"/>
    <cellStyle name="Comma 33 2 2 3" xfId="19437"/>
    <cellStyle name="Comma 33 2 2 4" xfId="25564"/>
    <cellStyle name="Comma 33 2 3" xfId="10195"/>
    <cellStyle name="Comma 33 2 4" xfId="16360"/>
    <cellStyle name="Comma 33 2 5" xfId="22488"/>
    <cellStyle name="Comma 33 3" xfId="3914"/>
    <cellStyle name="Comma 33 3 2" xfId="7039"/>
    <cellStyle name="Comma 33 3 2 2" xfId="13281"/>
    <cellStyle name="Comma 33 3 2 3" xfId="19436"/>
    <cellStyle name="Comma 33 3 2 4" xfId="25563"/>
    <cellStyle name="Comma 33 3 3" xfId="10194"/>
    <cellStyle name="Comma 33 3 4" xfId="16359"/>
    <cellStyle name="Comma 33 3 5" xfId="22487"/>
    <cellStyle name="Comma 33 4" xfId="5783"/>
    <cellStyle name="Comma 33 4 2" xfId="12025"/>
    <cellStyle name="Comma 33 4 3" xfId="18180"/>
    <cellStyle name="Comma 33 4 4" xfId="24307"/>
    <cellStyle name="Comma 33 5" xfId="8937"/>
    <cellStyle name="Comma 33 6" xfId="14715"/>
    <cellStyle name="Comma 33 7" xfId="21117"/>
    <cellStyle name="Comma 34" xfId="2634"/>
    <cellStyle name="Comma 34 2" xfId="3917"/>
    <cellStyle name="Comma 34 2 2" xfId="7042"/>
    <cellStyle name="Comma 34 2 2 2" xfId="13284"/>
    <cellStyle name="Comma 34 2 2 3" xfId="19439"/>
    <cellStyle name="Comma 34 2 2 4" xfId="25566"/>
    <cellStyle name="Comma 34 2 3" xfId="10197"/>
    <cellStyle name="Comma 34 2 4" xfId="16362"/>
    <cellStyle name="Comma 34 2 5" xfId="22490"/>
    <cellStyle name="Comma 34 3" xfId="3916"/>
    <cellStyle name="Comma 34 3 2" xfId="7041"/>
    <cellStyle name="Comma 34 3 2 2" xfId="13283"/>
    <cellStyle name="Comma 34 3 2 3" xfId="19438"/>
    <cellStyle name="Comma 34 3 2 4" xfId="25565"/>
    <cellStyle name="Comma 34 3 3" xfId="10196"/>
    <cellStyle name="Comma 34 3 4" xfId="16361"/>
    <cellStyle name="Comma 34 3 5" xfId="22489"/>
    <cellStyle name="Comma 34 4" xfId="5787"/>
    <cellStyle name="Comma 34 4 2" xfId="12029"/>
    <cellStyle name="Comma 34 4 3" xfId="18184"/>
    <cellStyle name="Comma 34 4 4" xfId="24311"/>
    <cellStyle name="Comma 34 5" xfId="8941"/>
    <cellStyle name="Comma 34 6" xfId="14716"/>
    <cellStyle name="Comma 34 7" xfId="21121"/>
    <cellStyle name="Comma 35" xfId="2622"/>
    <cellStyle name="Comma 35 2" xfId="3919"/>
    <cellStyle name="Comma 35 2 2" xfId="7044"/>
    <cellStyle name="Comma 35 2 2 2" xfId="13286"/>
    <cellStyle name="Comma 35 2 2 3" xfId="19441"/>
    <cellStyle name="Comma 35 2 2 4" xfId="25568"/>
    <cellStyle name="Comma 35 2 3" xfId="10199"/>
    <cellStyle name="Comma 35 2 4" xfId="16364"/>
    <cellStyle name="Comma 35 2 5" xfId="22492"/>
    <cellStyle name="Comma 35 3" xfId="3918"/>
    <cellStyle name="Comma 35 3 2" xfId="7043"/>
    <cellStyle name="Comma 35 3 2 2" xfId="13285"/>
    <cellStyle name="Comma 35 3 2 3" xfId="19440"/>
    <cellStyle name="Comma 35 3 2 4" xfId="25567"/>
    <cellStyle name="Comma 35 3 3" xfId="10198"/>
    <cellStyle name="Comma 35 3 4" xfId="16363"/>
    <cellStyle name="Comma 35 3 5" xfId="22491"/>
    <cellStyle name="Comma 35 4" xfId="5781"/>
    <cellStyle name="Comma 35 4 2" xfId="12023"/>
    <cellStyle name="Comma 35 4 3" xfId="18178"/>
    <cellStyle name="Comma 35 4 4" xfId="24305"/>
    <cellStyle name="Comma 35 5" xfId="8935"/>
    <cellStyle name="Comma 35 6" xfId="14717"/>
    <cellStyle name="Comma 35 7" xfId="21115"/>
    <cellStyle name="Comma 36" xfId="2626"/>
    <cellStyle name="Comma 36 2" xfId="3921"/>
    <cellStyle name="Comma 36 2 2" xfId="7046"/>
    <cellStyle name="Comma 36 2 2 2" xfId="13288"/>
    <cellStyle name="Comma 36 2 2 3" xfId="19443"/>
    <cellStyle name="Comma 36 2 2 4" xfId="25570"/>
    <cellStyle name="Comma 36 2 3" xfId="10201"/>
    <cellStyle name="Comma 36 2 4" xfId="16366"/>
    <cellStyle name="Comma 36 2 5" xfId="22494"/>
    <cellStyle name="Comma 36 3" xfId="3920"/>
    <cellStyle name="Comma 36 3 2" xfId="7045"/>
    <cellStyle name="Comma 36 3 2 2" xfId="13287"/>
    <cellStyle name="Comma 36 3 2 3" xfId="19442"/>
    <cellStyle name="Comma 36 3 2 4" xfId="25569"/>
    <cellStyle name="Comma 36 3 3" xfId="10200"/>
    <cellStyle name="Comma 36 3 4" xfId="16365"/>
    <cellStyle name="Comma 36 3 5" xfId="22493"/>
    <cellStyle name="Comma 36 4" xfId="5784"/>
    <cellStyle name="Comma 36 4 2" xfId="12026"/>
    <cellStyle name="Comma 36 4 3" xfId="18181"/>
    <cellStyle name="Comma 36 4 4" xfId="24308"/>
    <cellStyle name="Comma 36 5" xfId="8938"/>
    <cellStyle name="Comma 36 6" xfId="14718"/>
    <cellStyle name="Comma 36 7" xfId="21118"/>
    <cellStyle name="Comma 37" xfId="2631"/>
    <cellStyle name="Comma 37 2" xfId="3923"/>
    <cellStyle name="Comma 37 2 2" xfId="7048"/>
    <cellStyle name="Comma 37 2 2 2" xfId="13290"/>
    <cellStyle name="Comma 37 2 2 3" xfId="19445"/>
    <cellStyle name="Comma 37 2 2 4" xfId="25572"/>
    <cellStyle name="Comma 37 2 3" xfId="10203"/>
    <cellStyle name="Comma 37 2 4" xfId="16368"/>
    <cellStyle name="Comma 37 2 5" xfId="22496"/>
    <cellStyle name="Comma 37 3" xfId="3922"/>
    <cellStyle name="Comma 37 3 2" xfId="7047"/>
    <cellStyle name="Comma 37 3 2 2" xfId="13289"/>
    <cellStyle name="Comma 37 3 2 3" xfId="19444"/>
    <cellStyle name="Comma 37 3 2 4" xfId="25571"/>
    <cellStyle name="Comma 37 3 3" xfId="10202"/>
    <cellStyle name="Comma 37 3 4" xfId="16367"/>
    <cellStyle name="Comma 37 3 5" xfId="22495"/>
    <cellStyle name="Comma 37 4" xfId="5786"/>
    <cellStyle name="Comma 37 4 2" xfId="12028"/>
    <cellStyle name="Comma 37 4 3" xfId="18183"/>
    <cellStyle name="Comma 37 4 4" xfId="24310"/>
    <cellStyle name="Comma 37 5" xfId="8940"/>
    <cellStyle name="Comma 37 6" xfId="14719"/>
    <cellStyle name="Comma 37 7" xfId="21120"/>
    <cellStyle name="Comma 38" xfId="2624"/>
    <cellStyle name="Comma 38 2" xfId="3925"/>
    <cellStyle name="Comma 38 2 2" xfId="7050"/>
    <cellStyle name="Comma 38 2 2 2" xfId="13292"/>
    <cellStyle name="Comma 38 2 2 3" xfId="19447"/>
    <cellStyle name="Comma 38 2 2 4" xfId="25574"/>
    <cellStyle name="Comma 38 2 3" xfId="10205"/>
    <cellStyle name="Comma 38 2 4" xfId="16370"/>
    <cellStyle name="Comma 38 2 5" xfId="22498"/>
    <cellStyle name="Comma 38 3" xfId="3924"/>
    <cellStyle name="Comma 38 3 2" xfId="7049"/>
    <cellStyle name="Comma 38 3 2 2" xfId="13291"/>
    <cellStyle name="Comma 38 3 2 3" xfId="19446"/>
    <cellStyle name="Comma 38 3 2 4" xfId="25573"/>
    <cellStyle name="Comma 38 3 3" xfId="10204"/>
    <cellStyle name="Comma 38 3 4" xfId="16369"/>
    <cellStyle name="Comma 38 3 5" xfId="22497"/>
    <cellStyle name="Comma 38 4" xfId="5782"/>
    <cellStyle name="Comma 38 4 2" xfId="12024"/>
    <cellStyle name="Comma 38 4 3" xfId="18179"/>
    <cellStyle name="Comma 38 4 4" xfId="24306"/>
    <cellStyle name="Comma 38 5" xfId="8936"/>
    <cellStyle name="Comma 38 6" xfId="14720"/>
    <cellStyle name="Comma 38 7" xfId="21116"/>
    <cellStyle name="Comma 39" xfId="2635"/>
    <cellStyle name="Comma 39 2" xfId="3927"/>
    <cellStyle name="Comma 39 2 2" xfId="7052"/>
    <cellStyle name="Comma 39 2 2 2" xfId="13294"/>
    <cellStyle name="Comma 39 2 2 3" xfId="19449"/>
    <cellStyle name="Comma 39 2 2 4" xfId="25576"/>
    <cellStyle name="Comma 39 2 3" xfId="10207"/>
    <cellStyle name="Comma 39 2 4" xfId="16372"/>
    <cellStyle name="Comma 39 2 5" xfId="22500"/>
    <cellStyle name="Comma 39 3" xfId="3926"/>
    <cellStyle name="Comma 39 3 2" xfId="7051"/>
    <cellStyle name="Comma 39 3 2 2" xfId="13293"/>
    <cellStyle name="Comma 39 3 2 3" xfId="19448"/>
    <cellStyle name="Comma 39 3 2 4" xfId="25575"/>
    <cellStyle name="Comma 39 3 3" xfId="10206"/>
    <cellStyle name="Comma 39 3 4" xfId="16371"/>
    <cellStyle name="Comma 39 3 5" xfId="22499"/>
    <cellStyle name="Comma 39 4" xfId="5788"/>
    <cellStyle name="Comma 39 4 2" xfId="12030"/>
    <cellStyle name="Comma 39 4 3" xfId="18185"/>
    <cellStyle name="Comma 39 4 4" xfId="24312"/>
    <cellStyle name="Comma 39 5" xfId="8942"/>
    <cellStyle name="Comma 39 6" xfId="14721"/>
    <cellStyle name="Comma 39 7" xfId="21122"/>
    <cellStyle name="Comma 4" xfId="184"/>
    <cellStyle name="Comma 4 2" xfId="1061"/>
    <cellStyle name="Comma 4 2 2" xfId="1885"/>
    <cellStyle name="Comma 4 2 2 2" xfId="3930"/>
    <cellStyle name="Comma 4 2 2 2 2" xfId="7055"/>
    <cellStyle name="Comma 4 2 2 2 2 2" xfId="13297"/>
    <cellStyle name="Comma 4 2 2 2 2 3" xfId="19452"/>
    <cellStyle name="Comma 4 2 2 2 2 4" xfId="25579"/>
    <cellStyle name="Comma 4 2 2 2 3" xfId="10210"/>
    <cellStyle name="Comma 4 2 2 2 4" xfId="16375"/>
    <cellStyle name="Comma 4 2 2 2 5" xfId="22503"/>
    <cellStyle name="Comma 4 2 2 3" xfId="3929"/>
    <cellStyle name="Comma 4 2 2 3 2" xfId="7054"/>
    <cellStyle name="Comma 4 2 2 3 2 2" xfId="13296"/>
    <cellStyle name="Comma 4 2 2 3 2 3" xfId="19451"/>
    <cellStyle name="Comma 4 2 2 3 2 4" xfId="25578"/>
    <cellStyle name="Comma 4 2 2 3 3" xfId="10209"/>
    <cellStyle name="Comma 4 2 2 3 4" xfId="16374"/>
    <cellStyle name="Comma 4 2 2 3 5" xfId="22502"/>
    <cellStyle name="Comma 4 2 2 4" xfId="5304"/>
    <cellStyle name="Comma 4 2 2 4 2" xfId="11546"/>
    <cellStyle name="Comma 4 2 2 4 3" xfId="17701"/>
    <cellStyle name="Comma 4 2 2 4 4" xfId="23828"/>
    <cellStyle name="Comma 4 2 2 5" xfId="8459"/>
    <cellStyle name="Comma 4 2 2 6" xfId="14722"/>
    <cellStyle name="Comma 4 2 2 7" xfId="20640"/>
    <cellStyle name="Comma 4 2 3" xfId="2359"/>
    <cellStyle name="Comma 4 2 3 2" xfId="3932"/>
    <cellStyle name="Comma 4 2 3 2 2" xfId="7057"/>
    <cellStyle name="Comma 4 2 3 2 2 2" xfId="13299"/>
    <cellStyle name="Comma 4 2 3 2 2 3" xfId="19454"/>
    <cellStyle name="Comma 4 2 3 2 2 4" xfId="25581"/>
    <cellStyle name="Comma 4 2 3 2 3" xfId="10212"/>
    <cellStyle name="Comma 4 2 3 2 4" xfId="16377"/>
    <cellStyle name="Comma 4 2 3 2 5" xfId="22505"/>
    <cellStyle name="Comma 4 2 3 3" xfId="3931"/>
    <cellStyle name="Comma 4 2 3 3 2" xfId="7056"/>
    <cellStyle name="Comma 4 2 3 3 2 2" xfId="13298"/>
    <cellStyle name="Comma 4 2 3 3 2 3" xfId="19453"/>
    <cellStyle name="Comma 4 2 3 3 2 4" xfId="25580"/>
    <cellStyle name="Comma 4 2 3 3 3" xfId="10211"/>
    <cellStyle name="Comma 4 2 3 3 4" xfId="16376"/>
    <cellStyle name="Comma 4 2 3 3 5" xfId="22504"/>
    <cellStyle name="Comma 4 2 3 4" xfId="5672"/>
    <cellStyle name="Comma 4 2 3 4 2" xfId="11914"/>
    <cellStyle name="Comma 4 2 3 4 3" xfId="18069"/>
    <cellStyle name="Comma 4 2 3 4 4" xfId="24196"/>
    <cellStyle name="Comma 4 2 3 5" xfId="8826"/>
    <cellStyle name="Comma 4 2 3 6" xfId="14723"/>
    <cellStyle name="Comma 4 2 3 7" xfId="21006"/>
    <cellStyle name="Comma 4 3" xfId="1854"/>
    <cellStyle name="Comma 4 3 2" xfId="3934"/>
    <cellStyle name="Comma 4 3 2 2" xfId="7059"/>
    <cellStyle name="Comma 4 3 2 2 2" xfId="13301"/>
    <cellStyle name="Comma 4 3 2 2 3" xfId="19456"/>
    <cellStyle name="Comma 4 3 2 2 4" xfId="25583"/>
    <cellStyle name="Comma 4 3 2 3" xfId="10214"/>
    <cellStyle name="Comma 4 3 2 4" xfId="16379"/>
    <cellStyle name="Comma 4 3 2 5" xfId="22507"/>
    <cellStyle name="Comma 4 3 3" xfId="3933"/>
    <cellStyle name="Comma 4 3 3 2" xfId="7058"/>
    <cellStyle name="Comma 4 3 3 2 2" xfId="13300"/>
    <cellStyle name="Comma 4 3 3 2 3" xfId="19455"/>
    <cellStyle name="Comma 4 3 3 2 4" xfId="25582"/>
    <cellStyle name="Comma 4 3 3 3" xfId="10213"/>
    <cellStyle name="Comma 4 3 3 4" xfId="16378"/>
    <cellStyle name="Comma 4 3 3 5" xfId="22506"/>
    <cellStyle name="Comma 4 3 4" xfId="5296"/>
    <cellStyle name="Comma 4 3 4 2" xfId="11538"/>
    <cellStyle name="Comma 4 3 4 3" xfId="17693"/>
    <cellStyle name="Comma 4 3 4 4" xfId="23820"/>
    <cellStyle name="Comma 4 3 5" xfId="8452"/>
    <cellStyle name="Comma 4 3 6" xfId="14724"/>
    <cellStyle name="Comma 4 3 7" xfId="20633"/>
    <cellStyle name="Comma 4 4" xfId="2592"/>
    <cellStyle name="Comma 4 5" xfId="835"/>
    <cellStyle name="Comma 4 5 2" xfId="3936"/>
    <cellStyle name="Comma 4 5 2 2" xfId="7061"/>
    <cellStyle name="Comma 4 5 2 2 2" xfId="13303"/>
    <cellStyle name="Comma 4 5 2 2 3" xfId="19458"/>
    <cellStyle name="Comma 4 5 2 2 4" xfId="25585"/>
    <cellStyle name="Comma 4 5 2 3" xfId="10216"/>
    <cellStyle name="Comma 4 5 2 4" xfId="16381"/>
    <cellStyle name="Comma 4 5 2 5" xfId="22509"/>
    <cellStyle name="Comma 4 5 3" xfId="3935"/>
    <cellStyle name="Comma 4 5 3 2" xfId="7060"/>
    <cellStyle name="Comma 4 5 3 2 2" xfId="13302"/>
    <cellStyle name="Comma 4 5 3 2 3" xfId="19457"/>
    <cellStyle name="Comma 4 5 3 2 4" xfId="25584"/>
    <cellStyle name="Comma 4 5 3 3" xfId="10215"/>
    <cellStyle name="Comma 4 5 3 4" xfId="16380"/>
    <cellStyle name="Comma 4 5 3 5" xfId="22508"/>
    <cellStyle name="Comma 4 5 4" xfId="5172"/>
    <cellStyle name="Comma 4 5 4 2" xfId="11415"/>
    <cellStyle name="Comma 4 5 4 3" xfId="17570"/>
    <cellStyle name="Comma 4 5 4 4" xfId="23697"/>
    <cellStyle name="Comma 4 5 5" xfId="8329"/>
    <cellStyle name="Comma 4 5 6" xfId="14725"/>
    <cellStyle name="Comma 4 5 7" xfId="20512"/>
    <cellStyle name="Comma 4 6" xfId="310"/>
    <cellStyle name="Comma 4 6 2" xfId="7956"/>
    <cellStyle name="Comma 4 6 2 2" xfId="11101"/>
    <cellStyle name="Comma 4 6 2 3" xfId="17256"/>
    <cellStyle name="Comma 4 6 2 4" xfId="23383"/>
    <cellStyle name="Comma 4 7" xfId="3928"/>
    <cellStyle name="Comma 4 7 2" xfId="7053"/>
    <cellStyle name="Comma 4 7 2 2" xfId="13295"/>
    <cellStyle name="Comma 4 7 2 3" xfId="19450"/>
    <cellStyle name="Comma 4 7 2 4" xfId="25577"/>
    <cellStyle name="Comma 4 7 3" xfId="10208"/>
    <cellStyle name="Comma 4 7 4" xfId="16373"/>
    <cellStyle name="Comma 4 7 5" xfId="22501"/>
    <cellStyle name="Comma 4 8" xfId="4965"/>
    <cellStyle name="Comma 4 8 2" xfId="11209"/>
    <cellStyle name="Comma 4 8 3" xfId="17364"/>
    <cellStyle name="Comma 4 8 4" xfId="23491"/>
    <cellStyle name="Comma 4 9" xfId="8123"/>
    <cellStyle name="Comma 40" xfId="2621"/>
    <cellStyle name="Comma 40 2" xfId="3938"/>
    <cellStyle name="Comma 40 2 2" xfId="7063"/>
    <cellStyle name="Comma 40 2 2 2" xfId="13305"/>
    <cellStyle name="Comma 40 2 2 3" xfId="19460"/>
    <cellStyle name="Comma 40 2 2 4" xfId="25587"/>
    <cellStyle name="Comma 40 2 3" xfId="10218"/>
    <cellStyle name="Comma 40 2 4" xfId="16383"/>
    <cellStyle name="Comma 40 2 5" xfId="22511"/>
    <cellStyle name="Comma 40 3" xfId="3937"/>
    <cellStyle name="Comma 40 3 2" xfId="7062"/>
    <cellStyle name="Comma 40 3 2 2" xfId="13304"/>
    <cellStyle name="Comma 40 3 2 3" xfId="19459"/>
    <cellStyle name="Comma 40 3 2 4" xfId="25586"/>
    <cellStyle name="Comma 40 3 3" xfId="10217"/>
    <cellStyle name="Comma 40 3 4" xfId="16382"/>
    <cellStyle name="Comma 40 3 5" xfId="22510"/>
    <cellStyle name="Comma 40 4" xfId="5780"/>
    <cellStyle name="Comma 40 4 2" xfId="12022"/>
    <cellStyle name="Comma 40 4 3" xfId="18177"/>
    <cellStyle name="Comma 40 4 4" xfId="24304"/>
    <cellStyle name="Comma 40 5" xfId="8934"/>
    <cellStyle name="Comma 40 6" xfId="14726"/>
    <cellStyle name="Comma 40 7" xfId="21114"/>
    <cellStyle name="Comma 41" xfId="2642"/>
    <cellStyle name="Comma 41 2" xfId="3940"/>
    <cellStyle name="Comma 41 2 2" xfId="7065"/>
    <cellStyle name="Comma 41 2 2 2" xfId="13307"/>
    <cellStyle name="Comma 41 2 2 3" xfId="19462"/>
    <cellStyle name="Comma 41 2 2 4" xfId="25589"/>
    <cellStyle name="Comma 41 2 3" xfId="10220"/>
    <cellStyle name="Comma 41 2 4" xfId="16385"/>
    <cellStyle name="Comma 41 2 5" xfId="22513"/>
    <cellStyle name="Comma 41 3" xfId="3939"/>
    <cellStyle name="Comma 41 3 2" xfId="7064"/>
    <cellStyle name="Comma 41 3 2 2" xfId="13306"/>
    <cellStyle name="Comma 41 3 2 3" xfId="19461"/>
    <cellStyle name="Comma 41 3 2 4" xfId="25588"/>
    <cellStyle name="Comma 41 3 3" xfId="10219"/>
    <cellStyle name="Comma 41 3 4" xfId="16384"/>
    <cellStyle name="Comma 41 3 5" xfId="22512"/>
    <cellStyle name="Comma 41 4" xfId="5789"/>
    <cellStyle name="Comma 41 4 2" xfId="12031"/>
    <cellStyle name="Comma 41 4 3" xfId="18186"/>
    <cellStyle name="Comma 41 4 4" xfId="24313"/>
    <cellStyle name="Comma 41 5" xfId="8943"/>
    <cellStyle name="Comma 41 6" xfId="14727"/>
    <cellStyle name="Comma 41 7" xfId="21123"/>
    <cellStyle name="Comma 42" xfId="2648"/>
    <cellStyle name="Comma 42 2" xfId="3942"/>
    <cellStyle name="Comma 42 2 2" xfId="7067"/>
    <cellStyle name="Comma 42 2 2 2" xfId="13309"/>
    <cellStyle name="Comma 42 2 2 3" xfId="19464"/>
    <cellStyle name="Comma 42 2 2 4" xfId="25591"/>
    <cellStyle name="Comma 42 2 3" xfId="10222"/>
    <cellStyle name="Comma 42 2 4" xfId="16387"/>
    <cellStyle name="Comma 42 2 5" xfId="22515"/>
    <cellStyle name="Comma 42 3" xfId="3941"/>
    <cellStyle name="Comma 42 3 2" xfId="7066"/>
    <cellStyle name="Comma 42 3 2 2" xfId="13308"/>
    <cellStyle name="Comma 42 3 2 3" xfId="19463"/>
    <cellStyle name="Comma 42 3 2 4" xfId="25590"/>
    <cellStyle name="Comma 42 3 3" xfId="10221"/>
    <cellStyle name="Comma 42 3 4" xfId="16386"/>
    <cellStyle name="Comma 42 3 5" xfId="22514"/>
    <cellStyle name="Comma 42 4" xfId="5791"/>
    <cellStyle name="Comma 42 4 2" xfId="12033"/>
    <cellStyle name="Comma 42 4 3" xfId="18188"/>
    <cellStyle name="Comma 42 4 4" xfId="24315"/>
    <cellStyle name="Comma 42 5" xfId="8945"/>
    <cellStyle name="Comma 42 6" xfId="15116"/>
    <cellStyle name="Comma 42 7" xfId="21244"/>
    <cellStyle name="Comma 43" xfId="2652"/>
    <cellStyle name="Comma 43 2" xfId="3944"/>
    <cellStyle name="Comma 43 2 2" xfId="7069"/>
    <cellStyle name="Comma 43 2 2 2" xfId="13311"/>
    <cellStyle name="Comma 43 2 2 3" xfId="19466"/>
    <cellStyle name="Comma 43 2 2 4" xfId="25593"/>
    <cellStyle name="Comma 43 2 3" xfId="10224"/>
    <cellStyle name="Comma 43 2 4" xfId="16389"/>
    <cellStyle name="Comma 43 2 5" xfId="22517"/>
    <cellStyle name="Comma 43 3" xfId="3943"/>
    <cellStyle name="Comma 43 3 2" xfId="7068"/>
    <cellStyle name="Comma 43 3 2 2" xfId="13310"/>
    <cellStyle name="Comma 43 3 2 3" xfId="19465"/>
    <cellStyle name="Comma 43 3 2 4" xfId="25592"/>
    <cellStyle name="Comma 43 3 3" xfId="10223"/>
    <cellStyle name="Comma 43 3 4" xfId="16388"/>
    <cellStyle name="Comma 43 3 5" xfId="22516"/>
    <cellStyle name="Comma 43 4" xfId="5795"/>
    <cellStyle name="Comma 43 4 2" xfId="12037"/>
    <cellStyle name="Comma 43 4 3" xfId="18192"/>
    <cellStyle name="Comma 43 4 4" xfId="24319"/>
    <cellStyle name="Comma 43 5" xfId="8949"/>
    <cellStyle name="Comma 43 6" xfId="15119"/>
    <cellStyle name="Comma 43 7" xfId="21247"/>
    <cellStyle name="Comma 44" xfId="2655"/>
    <cellStyle name="Comma 44 2" xfId="3946"/>
    <cellStyle name="Comma 44 3" xfId="3945"/>
    <cellStyle name="Comma 44 3 2" xfId="7070"/>
    <cellStyle name="Comma 44 3 2 2" xfId="13312"/>
    <cellStyle name="Comma 44 3 2 3" xfId="19467"/>
    <cellStyle name="Comma 44 3 2 4" xfId="25594"/>
    <cellStyle name="Comma 44 3 3" xfId="10225"/>
    <cellStyle name="Comma 44 3 4" xfId="16390"/>
    <cellStyle name="Comma 44 3 5" xfId="22518"/>
    <cellStyle name="Comma 44 4" xfId="5798"/>
    <cellStyle name="Comma 44 4 2" xfId="12040"/>
    <cellStyle name="Comma 44 4 3" xfId="18195"/>
    <cellStyle name="Comma 44 4 4" xfId="24322"/>
    <cellStyle name="Comma 44 5" xfId="8952"/>
    <cellStyle name="Comma 44 6" xfId="15121"/>
    <cellStyle name="Comma 44 7" xfId="21249"/>
    <cellStyle name="Comma 45" xfId="2657"/>
    <cellStyle name="Comma 45 2" xfId="3948"/>
    <cellStyle name="Comma 45 3" xfId="3947"/>
    <cellStyle name="Comma 45 3 2" xfId="7071"/>
    <cellStyle name="Comma 45 3 2 2" xfId="13313"/>
    <cellStyle name="Comma 45 3 2 3" xfId="19468"/>
    <cellStyle name="Comma 45 3 2 4" xfId="25595"/>
    <cellStyle name="Comma 45 3 3" xfId="10226"/>
    <cellStyle name="Comma 45 3 4" xfId="16391"/>
    <cellStyle name="Comma 45 3 5" xfId="22519"/>
    <cellStyle name="Comma 45 4" xfId="5800"/>
    <cellStyle name="Comma 45 4 2" xfId="12042"/>
    <cellStyle name="Comma 45 4 3" xfId="18197"/>
    <cellStyle name="Comma 45 4 4" xfId="24324"/>
    <cellStyle name="Comma 45 5" xfId="8954"/>
    <cellStyle name="Comma 45 6" xfId="15123"/>
    <cellStyle name="Comma 45 7" xfId="21251"/>
    <cellStyle name="Comma 46" xfId="2664"/>
    <cellStyle name="Comma 46 2" xfId="3949"/>
    <cellStyle name="Comma 46 2 2" xfId="7072"/>
    <cellStyle name="Comma 46 2 2 2" xfId="13314"/>
    <cellStyle name="Comma 46 2 2 3" xfId="19469"/>
    <cellStyle name="Comma 46 2 2 4" xfId="25596"/>
    <cellStyle name="Comma 46 2 3" xfId="10227"/>
    <cellStyle name="Comma 46 2 4" xfId="16392"/>
    <cellStyle name="Comma 46 2 5" xfId="22520"/>
    <cellStyle name="Comma 46 3" xfId="5807"/>
    <cellStyle name="Comma 46 3 2" xfId="12049"/>
    <cellStyle name="Comma 46 3 3" xfId="18204"/>
    <cellStyle name="Comma 46 3 4" xfId="24331"/>
    <cellStyle name="Comma 46 4" xfId="8961"/>
    <cellStyle name="Comma 46 5" xfId="15127"/>
    <cellStyle name="Comma 46 6" xfId="21255"/>
    <cellStyle name="Comma 47" xfId="2662"/>
    <cellStyle name="Comma 47 2" xfId="3950"/>
    <cellStyle name="Comma 47 2 2" xfId="7073"/>
    <cellStyle name="Comma 47 2 2 2" xfId="13315"/>
    <cellStyle name="Comma 47 2 2 3" xfId="19470"/>
    <cellStyle name="Comma 47 2 2 4" xfId="25597"/>
    <cellStyle name="Comma 47 2 3" xfId="10228"/>
    <cellStyle name="Comma 47 2 4" xfId="16393"/>
    <cellStyle name="Comma 47 2 5" xfId="22521"/>
    <cellStyle name="Comma 47 3" xfId="5805"/>
    <cellStyle name="Comma 47 3 2" xfId="12047"/>
    <cellStyle name="Comma 47 3 3" xfId="18202"/>
    <cellStyle name="Comma 47 3 4" xfId="24329"/>
    <cellStyle name="Comma 47 4" xfId="8959"/>
    <cellStyle name="Comma 47 5" xfId="15126"/>
    <cellStyle name="Comma 47 6" xfId="21254"/>
    <cellStyle name="Comma 48" xfId="4869"/>
    <cellStyle name="Comma 48 2" xfId="11053"/>
    <cellStyle name="Comma 48 3" xfId="17210"/>
    <cellStyle name="Comma 48 4" xfId="23337"/>
    <cellStyle name="Comma 49" xfId="4873"/>
    <cellStyle name="Comma 49 2" xfId="11119"/>
    <cellStyle name="Comma 49 3" xfId="17274"/>
    <cellStyle name="Comma 49 4" xfId="23401"/>
    <cellStyle name="Comma 5" xfId="315"/>
    <cellStyle name="Comma 5 10" xfId="14728"/>
    <cellStyle name="Comma 5 11" xfId="20411"/>
    <cellStyle name="Comma 5 2" xfId="1843"/>
    <cellStyle name="Comma 5 2 2" xfId="3953"/>
    <cellStyle name="Comma 5 2 2 2" xfId="7076"/>
    <cellStyle name="Comma 5 2 2 2 2" xfId="13318"/>
    <cellStyle name="Comma 5 2 2 2 3" xfId="19473"/>
    <cellStyle name="Comma 5 2 2 2 4" xfId="25600"/>
    <cellStyle name="Comma 5 2 2 3" xfId="10231"/>
    <cellStyle name="Comma 5 2 2 4" xfId="16396"/>
    <cellStyle name="Comma 5 2 2 5" xfId="22524"/>
    <cellStyle name="Comma 5 2 3" xfId="3954"/>
    <cellStyle name="Comma 5 2 3 2" xfId="7077"/>
    <cellStyle name="Comma 5 2 3 2 2" xfId="13319"/>
    <cellStyle name="Comma 5 2 3 2 3" xfId="19474"/>
    <cellStyle name="Comma 5 2 3 2 4" xfId="25601"/>
    <cellStyle name="Comma 5 2 3 3" xfId="10232"/>
    <cellStyle name="Comma 5 2 3 4" xfId="16397"/>
    <cellStyle name="Comma 5 2 3 5" xfId="22525"/>
    <cellStyle name="Comma 5 2 4" xfId="3952"/>
    <cellStyle name="Comma 5 2 4 2" xfId="7075"/>
    <cellStyle name="Comma 5 2 4 2 2" xfId="13317"/>
    <cellStyle name="Comma 5 2 4 2 3" xfId="19472"/>
    <cellStyle name="Comma 5 2 4 2 4" xfId="25599"/>
    <cellStyle name="Comma 5 2 4 3" xfId="10230"/>
    <cellStyle name="Comma 5 2 4 4" xfId="16395"/>
    <cellStyle name="Comma 5 2 4 5" xfId="22523"/>
    <cellStyle name="Comma 5 2 5" xfId="5295"/>
    <cellStyle name="Comma 5 2 5 2" xfId="11537"/>
    <cellStyle name="Comma 5 2 5 3" xfId="17692"/>
    <cellStyle name="Comma 5 2 5 4" xfId="23819"/>
    <cellStyle name="Comma 5 2 6" xfId="8451"/>
    <cellStyle name="Comma 5 2 7" xfId="14729"/>
    <cellStyle name="Comma 5 2 8" xfId="20632"/>
    <cellStyle name="Comma 5 3" xfId="2264"/>
    <cellStyle name="Comma 5 3 2" xfId="3956"/>
    <cellStyle name="Comma 5 3 2 2" xfId="7079"/>
    <cellStyle name="Comma 5 3 2 2 2" xfId="13321"/>
    <cellStyle name="Comma 5 3 2 2 3" xfId="19476"/>
    <cellStyle name="Comma 5 3 2 2 4" xfId="25603"/>
    <cellStyle name="Comma 5 3 2 3" xfId="10234"/>
    <cellStyle name="Comma 5 3 2 4" xfId="16399"/>
    <cellStyle name="Comma 5 3 2 5" xfId="22527"/>
    <cellStyle name="Comma 5 3 3" xfId="3955"/>
    <cellStyle name="Comma 5 3 3 2" xfId="7078"/>
    <cellStyle name="Comma 5 3 3 2 2" xfId="13320"/>
    <cellStyle name="Comma 5 3 3 2 3" xfId="19475"/>
    <cellStyle name="Comma 5 3 3 2 4" xfId="25602"/>
    <cellStyle name="Comma 5 3 3 3" xfId="10233"/>
    <cellStyle name="Comma 5 3 3 4" xfId="16398"/>
    <cellStyle name="Comma 5 3 3 5" xfId="22526"/>
    <cellStyle name="Comma 5 3 4" xfId="5577"/>
    <cellStyle name="Comma 5 3 4 2" xfId="11819"/>
    <cellStyle name="Comma 5 3 4 3" xfId="17974"/>
    <cellStyle name="Comma 5 3 4 4" xfId="24101"/>
    <cellStyle name="Comma 5 3 5" xfId="8731"/>
    <cellStyle name="Comma 5 3 6" xfId="14730"/>
    <cellStyle name="Comma 5 3 7" xfId="20911"/>
    <cellStyle name="Comma 5 4" xfId="1062"/>
    <cellStyle name="Comma 5 5" xfId="3957"/>
    <cellStyle name="Comma 5 5 2" xfId="7080"/>
    <cellStyle name="Comma 5 5 2 2" xfId="13322"/>
    <cellStyle name="Comma 5 5 2 3" xfId="19477"/>
    <cellStyle name="Comma 5 5 2 4" xfId="25604"/>
    <cellStyle name="Comma 5 5 3" xfId="10235"/>
    <cellStyle name="Comma 5 5 4" xfId="16400"/>
    <cellStyle name="Comma 5 5 5" xfId="22528"/>
    <cellStyle name="Comma 5 6" xfId="3958"/>
    <cellStyle name="Comma 5 6 2" xfId="7081"/>
    <cellStyle name="Comma 5 6 2 2" xfId="13323"/>
    <cellStyle name="Comma 5 6 2 3" xfId="19478"/>
    <cellStyle name="Comma 5 6 2 4" xfId="25605"/>
    <cellStyle name="Comma 5 6 3" xfId="10236"/>
    <cellStyle name="Comma 5 6 4" xfId="16401"/>
    <cellStyle name="Comma 5 6 5" xfId="22529"/>
    <cellStyle name="Comma 5 7" xfId="3951"/>
    <cellStyle name="Comma 5 7 2" xfId="7074"/>
    <cellStyle name="Comma 5 7 2 2" xfId="13316"/>
    <cellStyle name="Comma 5 7 2 3" xfId="19471"/>
    <cellStyle name="Comma 5 7 2 4" xfId="25598"/>
    <cellStyle name="Comma 5 7 3" xfId="10229"/>
    <cellStyle name="Comma 5 7 4" xfId="16394"/>
    <cellStyle name="Comma 5 7 5" xfId="22522"/>
    <cellStyle name="Comma 5 8" xfId="5065"/>
    <cellStyle name="Comma 5 8 2" xfId="11308"/>
    <cellStyle name="Comma 5 8 3" xfId="17463"/>
    <cellStyle name="Comma 5 8 4" xfId="23590"/>
    <cellStyle name="Comma 5 9" xfId="8223"/>
    <cellStyle name="Comma 50" xfId="5102"/>
    <cellStyle name="Comma 50 2" xfId="11345"/>
    <cellStyle name="Comma 50 3" xfId="17500"/>
    <cellStyle name="Comma 50 4" xfId="23627"/>
    <cellStyle name="Comma 51" xfId="5211"/>
    <cellStyle name="Comma 51 2" xfId="11453"/>
    <cellStyle name="Comma 51 3" xfId="17608"/>
    <cellStyle name="Comma 51 4" xfId="23735"/>
    <cellStyle name="Comma 52" xfId="5100"/>
    <cellStyle name="Comma 52 2" xfId="11343"/>
    <cellStyle name="Comma 52 3" xfId="17498"/>
    <cellStyle name="Comma 52 4" xfId="23625"/>
    <cellStyle name="Comma 53" xfId="5311"/>
    <cellStyle name="Comma 53 2" xfId="11553"/>
    <cellStyle name="Comma 53 3" xfId="17708"/>
    <cellStyle name="Comma 53 4" xfId="23835"/>
    <cellStyle name="Comma 54" xfId="7654"/>
    <cellStyle name="Comma 54 2" xfId="13896"/>
    <cellStyle name="Comma 54 3" xfId="20051"/>
    <cellStyle name="Comma 54 4" xfId="26178"/>
    <cellStyle name="Comma 55" xfId="7910"/>
    <cellStyle name="Comma 55 2" xfId="14152"/>
    <cellStyle name="Comma 55 3" xfId="20307"/>
    <cellStyle name="Comma 55 4" xfId="26434"/>
    <cellStyle name="Comma 56" xfId="8031"/>
    <cellStyle name="Comma 57" xfId="8259"/>
    <cellStyle name="Comma 58" xfId="8408"/>
    <cellStyle name="Comma 59" xfId="8231"/>
    <cellStyle name="Comma 6" xfId="319"/>
    <cellStyle name="Comma 6 10" xfId="8227"/>
    <cellStyle name="Comma 6 11" xfId="14731"/>
    <cellStyle name="Comma 6 12" xfId="20415"/>
    <cellStyle name="Comma 6 2" xfId="1463"/>
    <cellStyle name="Comma 6 2 2" xfId="2445"/>
    <cellStyle name="Comma 6 2 2 2" xfId="3961"/>
    <cellStyle name="Comma 6 2 2 2 2" xfId="7084"/>
    <cellStyle name="Comma 6 2 2 2 2 2" xfId="13326"/>
    <cellStyle name="Comma 6 2 2 2 2 3" xfId="19481"/>
    <cellStyle name="Comma 6 2 2 2 2 4" xfId="25608"/>
    <cellStyle name="Comma 6 2 2 2 3" xfId="10239"/>
    <cellStyle name="Comma 6 2 2 2 4" xfId="16404"/>
    <cellStyle name="Comma 6 2 2 2 5" xfId="22532"/>
    <cellStyle name="Comma 6 2 2 3" xfId="3960"/>
    <cellStyle name="Comma 6 2 2 3 2" xfId="7083"/>
    <cellStyle name="Comma 6 2 2 3 2 2" xfId="13325"/>
    <cellStyle name="Comma 6 2 2 3 2 3" xfId="19480"/>
    <cellStyle name="Comma 6 2 2 3 2 4" xfId="25607"/>
    <cellStyle name="Comma 6 2 2 3 3" xfId="10238"/>
    <cellStyle name="Comma 6 2 2 3 4" xfId="16403"/>
    <cellStyle name="Comma 6 2 2 3 5" xfId="22531"/>
    <cellStyle name="Comma 6 2 2 4" xfId="5758"/>
    <cellStyle name="Comma 6 2 2 4 2" xfId="12000"/>
    <cellStyle name="Comma 6 2 2 4 3" xfId="18155"/>
    <cellStyle name="Comma 6 2 2 4 4" xfId="24282"/>
    <cellStyle name="Comma 6 2 2 5" xfId="8912"/>
    <cellStyle name="Comma 6 2 2 6" xfId="14732"/>
    <cellStyle name="Comma 6 2 2 7" xfId="21092"/>
    <cellStyle name="Comma 6 2 3" xfId="3962"/>
    <cellStyle name="Comma 6 2 4" xfId="3963"/>
    <cellStyle name="Comma 6 2 4 2" xfId="7085"/>
    <cellStyle name="Comma 6 2 4 2 2" xfId="13327"/>
    <cellStyle name="Comma 6 2 4 2 3" xfId="19482"/>
    <cellStyle name="Comma 6 2 4 2 4" xfId="25609"/>
    <cellStyle name="Comma 6 2 4 3" xfId="10240"/>
    <cellStyle name="Comma 6 2 4 4" xfId="16405"/>
    <cellStyle name="Comma 6 2 4 5" xfId="22533"/>
    <cellStyle name="Comma 6 3" xfId="2273"/>
    <cellStyle name="Comma 6 3 2" xfId="3965"/>
    <cellStyle name="Comma 6 3 2 2" xfId="7087"/>
    <cellStyle name="Comma 6 3 2 2 2" xfId="13329"/>
    <cellStyle name="Comma 6 3 2 2 3" xfId="19484"/>
    <cellStyle name="Comma 6 3 2 2 4" xfId="25611"/>
    <cellStyle name="Comma 6 3 2 3" xfId="10242"/>
    <cellStyle name="Comma 6 3 2 4" xfId="16407"/>
    <cellStyle name="Comma 6 3 2 5" xfId="22535"/>
    <cellStyle name="Comma 6 3 3" xfId="3964"/>
    <cellStyle name="Comma 6 3 3 2" xfId="7086"/>
    <cellStyle name="Comma 6 3 3 2 2" xfId="13328"/>
    <cellStyle name="Comma 6 3 3 2 3" xfId="19483"/>
    <cellStyle name="Comma 6 3 3 2 4" xfId="25610"/>
    <cellStyle name="Comma 6 3 3 3" xfId="10241"/>
    <cellStyle name="Comma 6 3 3 4" xfId="16406"/>
    <cellStyle name="Comma 6 3 3 5" xfId="22534"/>
    <cellStyle name="Comma 6 3 4" xfId="5586"/>
    <cellStyle name="Comma 6 3 4 2" xfId="11828"/>
    <cellStyle name="Comma 6 3 4 3" xfId="17983"/>
    <cellStyle name="Comma 6 3 4 4" xfId="24110"/>
    <cellStyle name="Comma 6 3 5" xfId="8740"/>
    <cellStyle name="Comma 6 3 6" xfId="14733"/>
    <cellStyle name="Comma 6 3 7" xfId="20920"/>
    <cellStyle name="Comma 6 4" xfId="2060"/>
    <cellStyle name="Comma 6 4 2" xfId="3967"/>
    <cellStyle name="Comma 6 4 2 2" xfId="7089"/>
    <cellStyle name="Comma 6 4 2 2 2" xfId="13331"/>
    <cellStyle name="Comma 6 4 2 2 3" xfId="19486"/>
    <cellStyle name="Comma 6 4 2 2 4" xfId="25613"/>
    <cellStyle name="Comma 6 4 2 3" xfId="10244"/>
    <cellStyle name="Comma 6 4 2 4" xfId="16409"/>
    <cellStyle name="Comma 6 4 2 5" xfId="22537"/>
    <cellStyle name="Comma 6 4 3" xfId="3966"/>
    <cellStyle name="Comma 6 4 3 2" xfId="7088"/>
    <cellStyle name="Comma 6 4 3 2 2" xfId="13330"/>
    <cellStyle name="Comma 6 4 3 2 3" xfId="19485"/>
    <cellStyle name="Comma 6 4 3 2 4" xfId="25612"/>
    <cellStyle name="Comma 6 4 3 3" xfId="10243"/>
    <cellStyle name="Comma 6 4 3 4" xfId="16408"/>
    <cellStyle name="Comma 6 4 3 5" xfId="22536"/>
    <cellStyle name="Comma 6 4 4" xfId="5398"/>
    <cellStyle name="Comma 6 4 4 2" xfId="11640"/>
    <cellStyle name="Comma 6 4 4 3" xfId="17795"/>
    <cellStyle name="Comma 6 4 4 4" xfId="23922"/>
    <cellStyle name="Comma 6 4 5" xfId="8553"/>
    <cellStyle name="Comma 6 4 6" xfId="14734"/>
    <cellStyle name="Comma 6 4 7" xfId="20733"/>
    <cellStyle name="Comma 6 5" xfId="1063"/>
    <cellStyle name="Comma 6 6" xfId="3968"/>
    <cellStyle name="Comma 6 6 2" xfId="7090"/>
    <cellStyle name="Comma 6 6 2 2" xfId="13332"/>
    <cellStyle name="Comma 6 6 2 3" xfId="19487"/>
    <cellStyle name="Comma 6 6 2 4" xfId="25614"/>
    <cellStyle name="Comma 6 6 3" xfId="10245"/>
    <cellStyle name="Comma 6 6 4" xfId="16410"/>
    <cellStyle name="Comma 6 6 5" xfId="22538"/>
    <cellStyle name="Comma 6 7" xfId="3969"/>
    <cellStyle name="Comma 6 7 2" xfId="7091"/>
    <cellStyle name="Comma 6 7 2 2" xfId="13333"/>
    <cellStyle name="Comma 6 7 2 3" xfId="19488"/>
    <cellStyle name="Comma 6 7 2 4" xfId="25615"/>
    <cellStyle name="Comma 6 7 3" xfId="10246"/>
    <cellStyle name="Comma 6 7 4" xfId="16411"/>
    <cellStyle name="Comma 6 7 5" xfId="22539"/>
    <cellStyle name="Comma 6 8" xfId="3959"/>
    <cellStyle name="Comma 6 8 2" xfId="7082"/>
    <cellStyle name="Comma 6 8 2 2" xfId="13324"/>
    <cellStyle name="Comma 6 8 2 3" xfId="19479"/>
    <cellStyle name="Comma 6 8 2 4" xfId="25606"/>
    <cellStyle name="Comma 6 8 3" xfId="10237"/>
    <cellStyle name="Comma 6 8 4" xfId="16402"/>
    <cellStyle name="Comma 6 8 5" xfId="22530"/>
    <cellStyle name="Comma 6 9" xfId="5069"/>
    <cellStyle name="Comma 6 9 2" xfId="11312"/>
    <cellStyle name="Comma 6 9 3" xfId="17467"/>
    <cellStyle name="Comma 6 9 4" xfId="23594"/>
    <cellStyle name="Comma 60" xfId="14160"/>
    <cellStyle name="Comma 61" xfId="14167"/>
    <cellStyle name="Comma 7" xfId="1064"/>
    <cellStyle name="Comma 7 2" xfId="1607"/>
    <cellStyle name="Comma 7 3" xfId="1964"/>
    <cellStyle name="Comma 7 4" xfId="3970"/>
    <cellStyle name="Comma 7 4 2" xfId="7092"/>
    <cellStyle name="Comma 7 4 2 2" xfId="13334"/>
    <cellStyle name="Comma 7 4 2 3" xfId="19489"/>
    <cellStyle name="Comma 7 4 2 4" xfId="25616"/>
    <cellStyle name="Comma 7 4 3" xfId="10247"/>
    <cellStyle name="Comma 7 4 4" xfId="16412"/>
    <cellStyle name="Comma 7 4 5" xfId="22540"/>
    <cellStyle name="Comma 8" xfId="1065"/>
    <cellStyle name="Comma 8 2" xfId="1649"/>
    <cellStyle name="Comma 8 3" xfId="2091"/>
    <cellStyle name="Comma 8 3 2" xfId="3972"/>
    <cellStyle name="Comma 8 3 2 2" xfId="7094"/>
    <cellStyle name="Comma 8 3 2 2 2" xfId="13336"/>
    <cellStyle name="Comma 8 3 2 2 3" xfId="19491"/>
    <cellStyle name="Comma 8 3 2 2 4" xfId="25618"/>
    <cellStyle name="Comma 8 3 2 3" xfId="10249"/>
    <cellStyle name="Comma 8 3 2 4" xfId="16414"/>
    <cellStyle name="Comma 8 3 2 5" xfId="22542"/>
    <cellStyle name="Comma 8 3 3" xfId="3971"/>
    <cellStyle name="Comma 8 3 3 2" xfId="7093"/>
    <cellStyle name="Comma 8 3 3 2 2" xfId="13335"/>
    <cellStyle name="Comma 8 3 3 2 3" xfId="19490"/>
    <cellStyle name="Comma 8 3 3 2 4" xfId="25617"/>
    <cellStyle name="Comma 8 3 3 3" xfId="10248"/>
    <cellStyle name="Comma 8 3 3 4" xfId="16413"/>
    <cellStyle name="Comma 8 3 3 5" xfId="22541"/>
    <cellStyle name="Comma 8 3 4" xfId="5410"/>
    <cellStyle name="Comma 8 3 4 2" xfId="11652"/>
    <cellStyle name="Comma 8 3 4 3" xfId="17807"/>
    <cellStyle name="Comma 8 3 4 4" xfId="23934"/>
    <cellStyle name="Comma 8 3 5" xfId="8564"/>
    <cellStyle name="Comma 8 3 6" xfId="14735"/>
    <cellStyle name="Comma 8 3 7" xfId="20744"/>
    <cellStyle name="Comma 9" xfId="1066"/>
    <cellStyle name="Comma 9 2" xfId="1929"/>
    <cellStyle name="Comma 9 3" xfId="3974"/>
    <cellStyle name="Comma 9 3 2" xfId="7096"/>
    <cellStyle name="Comma 9 3 2 2" xfId="13338"/>
    <cellStyle name="Comma 9 3 2 3" xfId="19493"/>
    <cellStyle name="Comma 9 3 2 4" xfId="25620"/>
    <cellStyle name="Comma 9 3 3" xfId="10251"/>
    <cellStyle name="Comma 9 3 4" xfId="16416"/>
    <cellStyle name="Comma 9 3 5" xfId="22544"/>
    <cellStyle name="Comma 9 4" xfId="3975"/>
    <cellStyle name="Comma 9 4 2" xfId="7097"/>
    <cellStyle name="Comma 9 4 2 2" xfId="13339"/>
    <cellStyle name="Comma 9 4 2 3" xfId="19494"/>
    <cellStyle name="Comma 9 4 2 4" xfId="25621"/>
    <cellStyle name="Comma 9 4 3" xfId="10252"/>
    <cellStyle name="Comma 9 4 4" xfId="16417"/>
    <cellStyle name="Comma 9 4 5" xfId="22545"/>
    <cellStyle name="Comma 9 5" xfId="3973"/>
    <cellStyle name="Comma 9 5 2" xfId="7095"/>
    <cellStyle name="Comma 9 5 2 2" xfId="13337"/>
    <cellStyle name="Comma 9 5 2 3" xfId="19492"/>
    <cellStyle name="Comma 9 5 2 4" xfId="25619"/>
    <cellStyle name="Comma 9 5 3" xfId="10250"/>
    <cellStyle name="Comma 9 5 4" xfId="16415"/>
    <cellStyle name="Comma 9 5 5" xfId="22543"/>
    <cellStyle name="Comma 9 6" xfId="5180"/>
    <cellStyle name="Comma 9 6 2" xfId="11423"/>
    <cellStyle name="Comma 9 6 3" xfId="17578"/>
    <cellStyle name="Comma 9 6 4" xfId="23705"/>
    <cellStyle name="Comma 9 7" xfId="8337"/>
    <cellStyle name="Comma 9 8" xfId="14736"/>
    <cellStyle name="Comma 9 9" xfId="20520"/>
    <cellStyle name="Comma0" xfId="545"/>
    <cellStyle name="Commentaire" xfId="546"/>
    <cellStyle name="Contrôle" xfId="547"/>
    <cellStyle name="Copied" xfId="1886"/>
    <cellStyle name="Courbe_de_vie" xfId="548"/>
    <cellStyle name="Currency 2" xfId="1809"/>
    <cellStyle name="Currency0" xfId="549"/>
    <cellStyle name="čárky 2" xfId="363"/>
    <cellStyle name="čárky 2 2" xfId="855"/>
    <cellStyle name="čárky 2 2 2" xfId="1755"/>
    <cellStyle name="čárky 2 3" xfId="550"/>
    <cellStyle name="čárky 2 4" xfId="1336"/>
    <cellStyle name="čárky 2 5" xfId="1729"/>
    <cellStyle name="čárky 2 6" xfId="7957"/>
    <cellStyle name="čárky 2 6 2" xfId="11100"/>
    <cellStyle name="čárky 2 6 3" xfId="17255"/>
    <cellStyle name="čárky 2 6 4" xfId="23382"/>
    <cellStyle name="Čiarka 10" xfId="1422"/>
    <cellStyle name="Čiarka 11" xfId="1571"/>
    <cellStyle name="Čiarka 12" xfId="1803"/>
    <cellStyle name="Čiarka 2" xfId="174"/>
    <cellStyle name="Čiarka 2 10" xfId="3977"/>
    <cellStyle name="Čiarka 2 10 2" xfId="7099"/>
    <cellStyle name="Čiarka 2 10 2 2" xfId="13341"/>
    <cellStyle name="Čiarka 2 10 2 3" xfId="19496"/>
    <cellStyle name="Čiarka 2 10 2 4" xfId="25623"/>
    <cellStyle name="Čiarka 2 10 3" xfId="10254"/>
    <cellStyle name="Čiarka 2 10 4" xfId="16419"/>
    <cellStyle name="Čiarka 2 10 5" xfId="22547"/>
    <cellStyle name="Čiarka 2 11" xfId="3976"/>
    <cellStyle name="Čiarka 2 11 2" xfId="7098"/>
    <cellStyle name="Čiarka 2 11 2 2" xfId="13340"/>
    <cellStyle name="Čiarka 2 11 2 3" xfId="19495"/>
    <cellStyle name="Čiarka 2 11 2 4" xfId="25622"/>
    <cellStyle name="Čiarka 2 11 3" xfId="10253"/>
    <cellStyle name="Čiarka 2 11 4" xfId="16418"/>
    <cellStyle name="Čiarka 2 11 5" xfId="22546"/>
    <cellStyle name="Čiarka 2 12" xfId="4871"/>
    <cellStyle name="Čiarka 2 12 2" xfId="11055"/>
    <cellStyle name="Čiarka 2 12 3" xfId="17212"/>
    <cellStyle name="Čiarka 2 12 4" xfId="23339"/>
    <cellStyle name="Čiarka 2 13" xfId="8033"/>
    <cellStyle name="Čiarka 2 13 2" xfId="15078"/>
    <cellStyle name="Čiarka 2 13 3" xfId="21206"/>
    <cellStyle name="Čiarka 2 14" xfId="14737"/>
    <cellStyle name="Čiarka 2 15" xfId="20401"/>
    <cellStyle name="Čiarka 2 2" xfId="186"/>
    <cellStyle name="Čiarka 2 2 2" xfId="1166"/>
    <cellStyle name="Čiarka 2 2 2 2" xfId="1559"/>
    <cellStyle name="Čiarka 2 2 2 2 2" xfId="3979"/>
    <cellStyle name="Čiarka 2 2 2 2 2 2" xfId="7101"/>
    <cellStyle name="Čiarka 2 2 2 2 2 2 2" xfId="13343"/>
    <cellStyle name="Čiarka 2 2 2 2 2 2 3" xfId="19498"/>
    <cellStyle name="Čiarka 2 2 2 2 2 2 4" xfId="25625"/>
    <cellStyle name="Čiarka 2 2 2 2 2 3" xfId="10256"/>
    <cellStyle name="Čiarka 2 2 2 2 2 4" xfId="16421"/>
    <cellStyle name="Čiarka 2 2 2 2 2 5" xfId="22549"/>
    <cellStyle name="Čiarka 2 2 2 3" xfId="2435"/>
    <cellStyle name="Čiarka 2 2 2 3 2" xfId="3981"/>
    <cellStyle name="Čiarka 2 2 2 3 2 2" xfId="7103"/>
    <cellStyle name="Čiarka 2 2 2 3 2 2 2" xfId="13345"/>
    <cellStyle name="Čiarka 2 2 2 3 2 2 3" xfId="19500"/>
    <cellStyle name="Čiarka 2 2 2 3 2 2 4" xfId="25627"/>
    <cellStyle name="Čiarka 2 2 2 3 2 3" xfId="10258"/>
    <cellStyle name="Čiarka 2 2 2 3 2 4" xfId="16423"/>
    <cellStyle name="Čiarka 2 2 2 3 2 5" xfId="22551"/>
    <cellStyle name="Čiarka 2 2 2 3 3" xfId="3980"/>
    <cellStyle name="Čiarka 2 2 2 3 3 2" xfId="7102"/>
    <cellStyle name="Čiarka 2 2 2 3 3 2 2" xfId="13344"/>
    <cellStyle name="Čiarka 2 2 2 3 3 2 3" xfId="19499"/>
    <cellStyle name="Čiarka 2 2 2 3 3 2 4" xfId="25626"/>
    <cellStyle name="Čiarka 2 2 2 3 3 3" xfId="10257"/>
    <cellStyle name="Čiarka 2 2 2 3 3 4" xfId="16422"/>
    <cellStyle name="Čiarka 2 2 2 3 3 5" xfId="22550"/>
    <cellStyle name="Čiarka 2 2 2 3 4" xfId="5748"/>
    <cellStyle name="Čiarka 2 2 2 3 4 2" xfId="11990"/>
    <cellStyle name="Čiarka 2 2 2 3 4 3" xfId="18145"/>
    <cellStyle name="Čiarka 2 2 2 3 4 4" xfId="24272"/>
    <cellStyle name="Čiarka 2 2 2 3 5" xfId="8902"/>
    <cellStyle name="Čiarka 2 2 2 3 6" xfId="14738"/>
    <cellStyle name="Čiarka 2 2 2 3 7" xfId="21082"/>
    <cellStyle name="Čiarka 2 2 3" xfId="1197"/>
    <cellStyle name="Čiarka 2 2 3 2" xfId="1890"/>
    <cellStyle name="Čiarka 2 2 3 3" xfId="3983"/>
    <cellStyle name="Čiarka 2 2 3 3 2" xfId="7105"/>
    <cellStyle name="Čiarka 2 2 3 3 2 2" xfId="13347"/>
    <cellStyle name="Čiarka 2 2 3 3 2 3" xfId="19502"/>
    <cellStyle name="Čiarka 2 2 3 3 2 4" xfId="25629"/>
    <cellStyle name="Čiarka 2 2 3 3 3" xfId="10260"/>
    <cellStyle name="Čiarka 2 2 3 3 4" xfId="16425"/>
    <cellStyle name="Čiarka 2 2 3 3 5" xfId="22553"/>
    <cellStyle name="Čiarka 2 2 3 4" xfId="3982"/>
    <cellStyle name="Čiarka 2 2 3 4 2" xfId="7104"/>
    <cellStyle name="Čiarka 2 2 3 4 2 2" xfId="13346"/>
    <cellStyle name="Čiarka 2 2 3 4 2 3" xfId="19501"/>
    <cellStyle name="Čiarka 2 2 3 4 2 4" xfId="25628"/>
    <cellStyle name="Čiarka 2 2 3 4 3" xfId="10259"/>
    <cellStyle name="Čiarka 2 2 3 4 4" xfId="16424"/>
    <cellStyle name="Čiarka 2 2 3 4 5" xfId="22552"/>
    <cellStyle name="Čiarka 2 2 3 5" xfId="5193"/>
    <cellStyle name="Čiarka 2 2 3 5 2" xfId="11435"/>
    <cellStyle name="Čiarka 2 2 3 5 3" xfId="17590"/>
    <cellStyle name="Čiarka 2 2 3 5 4" xfId="23717"/>
    <cellStyle name="Čiarka 2 2 3 6" xfId="8351"/>
    <cellStyle name="Čiarka 2 2 3 7" xfId="14739"/>
    <cellStyle name="Čiarka 2 2 3 8" xfId="20533"/>
    <cellStyle name="Čiarka 2 2 4" xfId="1546"/>
    <cellStyle name="Čiarka 2 2 4 2" xfId="3984"/>
    <cellStyle name="Čiarka 2 2 4 2 2" xfId="7106"/>
    <cellStyle name="Čiarka 2 2 4 2 2 2" xfId="13348"/>
    <cellStyle name="Čiarka 2 2 4 2 2 3" xfId="19503"/>
    <cellStyle name="Čiarka 2 2 4 2 2 4" xfId="25630"/>
    <cellStyle name="Čiarka 2 2 4 2 3" xfId="10261"/>
    <cellStyle name="Čiarka 2 2 4 2 4" xfId="16426"/>
    <cellStyle name="Čiarka 2 2 4 2 5" xfId="22554"/>
    <cellStyle name="Čiarka 2 2 5" xfId="836"/>
    <cellStyle name="Čiarka 2 2 6" xfId="279"/>
    <cellStyle name="Čiarka 2 2 7" xfId="3978"/>
    <cellStyle name="Čiarka 2 2 7 2" xfId="7100"/>
    <cellStyle name="Čiarka 2 2 7 2 2" xfId="13342"/>
    <cellStyle name="Čiarka 2 2 7 2 3" xfId="19497"/>
    <cellStyle name="Čiarka 2 2 7 2 4" xfId="25624"/>
    <cellStyle name="Čiarka 2 2 7 3" xfId="10255"/>
    <cellStyle name="Čiarka 2 2 7 4" xfId="16420"/>
    <cellStyle name="Čiarka 2 2 7 5" xfId="22548"/>
    <cellStyle name="Čiarka 2 2 8" xfId="4967"/>
    <cellStyle name="Čiarka 2 2 8 2" xfId="11211"/>
    <cellStyle name="Čiarka 2 2 8 3" xfId="17366"/>
    <cellStyle name="Čiarka 2 2 8 4" xfId="23493"/>
    <cellStyle name="Čiarka 2 2 9" xfId="8125"/>
    <cellStyle name="Čiarka 2 2 9 2" xfId="15091"/>
    <cellStyle name="Čiarka 2 2 9 3" xfId="21219"/>
    <cellStyle name="Čiarka 2 3" xfId="1165"/>
    <cellStyle name="Čiarka 2 3 10" xfId="20525"/>
    <cellStyle name="Čiarka 2 3 2" xfId="1941"/>
    <cellStyle name="Čiarka 2 3 2 2" xfId="3986"/>
    <cellStyle name="Čiarka 2 3 2 2 2" xfId="7108"/>
    <cellStyle name="Čiarka 2 3 2 2 2 2" xfId="13350"/>
    <cellStyle name="Čiarka 2 3 2 2 2 3" xfId="19505"/>
    <cellStyle name="Čiarka 2 3 2 2 2 4" xfId="25632"/>
    <cellStyle name="Čiarka 2 3 2 2 3" xfId="10263"/>
    <cellStyle name="Čiarka 2 3 2 2 4" xfId="16428"/>
    <cellStyle name="Čiarka 2 3 2 2 5" xfId="22556"/>
    <cellStyle name="Čiarka 2 3 3" xfId="3987"/>
    <cellStyle name="Čiarka 2 3 3 2" xfId="7109"/>
    <cellStyle name="Čiarka 2 3 3 2 2" xfId="13351"/>
    <cellStyle name="Čiarka 2 3 3 2 3" xfId="19506"/>
    <cellStyle name="Čiarka 2 3 3 2 4" xfId="25633"/>
    <cellStyle name="Čiarka 2 3 3 3" xfId="10264"/>
    <cellStyle name="Čiarka 2 3 3 4" xfId="16429"/>
    <cellStyle name="Čiarka 2 3 3 5" xfId="22557"/>
    <cellStyle name="Čiarka 2 3 4" xfId="3988"/>
    <cellStyle name="Čiarka 2 3 5" xfId="3989"/>
    <cellStyle name="Čiarka 2 3 5 2" xfId="7110"/>
    <cellStyle name="Čiarka 2 3 5 2 2" xfId="13352"/>
    <cellStyle name="Čiarka 2 3 5 2 3" xfId="19507"/>
    <cellStyle name="Čiarka 2 3 5 2 4" xfId="25634"/>
    <cellStyle name="Čiarka 2 3 5 3" xfId="10265"/>
    <cellStyle name="Čiarka 2 3 5 4" xfId="16430"/>
    <cellStyle name="Čiarka 2 3 5 5" xfId="22558"/>
    <cellStyle name="Čiarka 2 3 6" xfId="3985"/>
    <cellStyle name="Čiarka 2 3 6 2" xfId="7107"/>
    <cellStyle name="Čiarka 2 3 6 2 2" xfId="13349"/>
    <cellStyle name="Čiarka 2 3 6 2 3" xfId="19504"/>
    <cellStyle name="Čiarka 2 3 6 2 4" xfId="25631"/>
    <cellStyle name="Čiarka 2 3 6 3" xfId="10262"/>
    <cellStyle name="Čiarka 2 3 6 4" xfId="16427"/>
    <cellStyle name="Čiarka 2 3 6 5" xfId="22555"/>
    <cellStyle name="Čiarka 2 3 7" xfId="5185"/>
    <cellStyle name="Čiarka 2 3 7 2" xfId="11428"/>
    <cellStyle name="Čiarka 2 3 7 3" xfId="17583"/>
    <cellStyle name="Čiarka 2 3 7 4" xfId="23710"/>
    <cellStyle name="Čiarka 2 3 8" xfId="8343"/>
    <cellStyle name="Čiarka 2 3 9" xfId="14740"/>
    <cellStyle name="Čiarka 2 4" xfId="1295"/>
    <cellStyle name="Čiarka 2 4 2" xfId="1793"/>
    <cellStyle name="Čiarka 2 4 3" xfId="2262"/>
    <cellStyle name="Čiarka 2 4 3 2" xfId="3991"/>
    <cellStyle name="Čiarka 2 4 3 2 2" xfId="7112"/>
    <cellStyle name="Čiarka 2 4 3 2 2 2" xfId="13354"/>
    <cellStyle name="Čiarka 2 4 3 2 2 3" xfId="19509"/>
    <cellStyle name="Čiarka 2 4 3 2 2 4" xfId="25636"/>
    <cellStyle name="Čiarka 2 4 3 2 3" xfId="10267"/>
    <cellStyle name="Čiarka 2 4 3 2 4" xfId="16432"/>
    <cellStyle name="Čiarka 2 4 3 2 5" xfId="22560"/>
    <cellStyle name="Čiarka 2 4 3 3" xfId="3990"/>
    <cellStyle name="Čiarka 2 4 3 3 2" xfId="7111"/>
    <cellStyle name="Čiarka 2 4 3 3 2 2" xfId="13353"/>
    <cellStyle name="Čiarka 2 4 3 3 2 3" xfId="19508"/>
    <cellStyle name="Čiarka 2 4 3 3 2 4" xfId="25635"/>
    <cellStyle name="Čiarka 2 4 3 3 3" xfId="10266"/>
    <cellStyle name="Čiarka 2 4 3 3 4" xfId="16431"/>
    <cellStyle name="Čiarka 2 4 3 3 5" xfId="22559"/>
    <cellStyle name="Čiarka 2 4 3 4" xfId="5575"/>
    <cellStyle name="Čiarka 2 4 3 4 2" xfId="11817"/>
    <cellStyle name="Čiarka 2 4 3 4 3" xfId="17972"/>
    <cellStyle name="Čiarka 2 4 3 4 4" xfId="24099"/>
    <cellStyle name="Čiarka 2 4 3 5" xfId="8729"/>
    <cellStyle name="Čiarka 2 4 3 6" xfId="14741"/>
    <cellStyle name="Čiarka 2 4 3 7" xfId="20909"/>
    <cellStyle name="Čiarka 2 5" xfId="1510"/>
    <cellStyle name="Čiarka 2 5 2" xfId="3992"/>
    <cellStyle name="Čiarka 2 5 2 2" xfId="7113"/>
    <cellStyle name="Čiarka 2 5 2 2 2" xfId="13355"/>
    <cellStyle name="Čiarka 2 5 2 2 3" xfId="19510"/>
    <cellStyle name="Čiarka 2 5 2 2 4" xfId="25637"/>
    <cellStyle name="Čiarka 2 5 2 3" xfId="10268"/>
    <cellStyle name="Čiarka 2 5 2 4" xfId="16433"/>
    <cellStyle name="Čiarka 2 5 2 5" xfId="22561"/>
    <cellStyle name="Čiarka 2 5 3" xfId="3993"/>
    <cellStyle name="Čiarka 2 5 3 2" xfId="7114"/>
    <cellStyle name="Čiarka 2 5 3 2 2" xfId="13356"/>
    <cellStyle name="Čiarka 2 5 3 2 3" xfId="19511"/>
    <cellStyle name="Čiarka 2 5 3 2 4" xfId="25638"/>
    <cellStyle name="Čiarka 2 5 3 3" xfId="10269"/>
    <cellStyle name="Čiarka 2 5 3 4" xfId="16434"/>
    <cellStyle name="Čiarka 2 5 3 5" xfId="22562"/>
    <cellStyle name="Čiarka 2 6" xfId="1407"/>
    <cellStyle name="Čiarka 2 6 2" xfId="3994"/>
    <cellStyle name="Čiarka 2 6 2 2" xfId="7115"/>
    <cellStyle name="Čiarka 2 6 2 2 2" xfId="13357"/>
    <cellStyle name="Čiarka 2 6 2 2 3" xfId="19512"/>
    <cellStyle name="Čiarka 2 6 2 2 4" xfId="25639"/>
    <cellStyle name="Čiarka 2 6 2 3" xfId="10270"/>
    <cellStyle name="Čiarka 2 6 2 4" xfId="16435"/>
    <cellStyle name="Čiarka 2 6 2 5" xfId="22563"/>
    <cellStyle name="Čiarka 2 7" xfId="1067"/>
    <cellStyle name="Čiarka 2 8" xfId="278"/>
    <cellStyle name="Čiarka 2 8 2" xfId="3996"/>
    <cellStyle name="Čiarka 2 8 2 2" xfId="7117"/>
    <cellStyle name="Čiarka 2 8 2 2 2" xfId="13359"/>
    <cellStyle name="Čiarka 2 8 2 2 3" xfId="19514"/>
    <cellStyle name="Čiarka 2 8 2 2 4" xfId="25641"/>
    <cellStyle name="Čiarka 2 8 2 3" xfId="10272"/>
    <cellStyle name="Čiarka 2 8 2 4" xfId="16437"/>
    <cellStyle name="Čiarka 2 8 2 5" xfId="22565"/>
    <cellStyle name="Čiarka 2 8 3" xfId="3995"/>
    <cellStyle name="Čiarka 2 8 3 2" xfId="7116"/>
    <cellStyle name="Čiarka 2 8 3 2 2" xfId="13358"/>
    <cellStyle name="Čiarka 2 8 3 2 3" xfId="19513"/>
    <cellStyle name="Čiarka 2 8 3 2 4" xfId="25640"/>
    <cellStyle name="Čiarka 2 8 3 3" xfId="10271"/>
    <cellStyle name="Čiarka 2 8 3 4" xfId="16436"/>
    <cellStyle name="Čiarka 2 8 3 5" xfId="22564"/>
    <cellStyle name="Čiarka 2 8 4" xfId="5055"/>
    <cellStyle name="Čiarka 2 8 4 2" xfId="11298"/>
    <cellStyle name="Čiarka 2 8 4 3" xfId="17453"/>
    <cellStyle name="Čiarka 2 8 4 4" xfId="23580"/>
    <cellStyle name="Čiarka 2 8 5" xfId="8213"/>
    <cellStyle name="Čiarka 2 8 6" xfId="15109"/>
    <cellStyle name="Čiarka 2 8 7" xfId="21237"/>
    <cellStyle name="Čiarka 2 9" xfId="2650"/>
    <cellStyle name="Čiarka 2 9 2" xfId="3997"/>
    <cellStyle name="Čiarka 2 9 2 2" xfId="7118"/>
    <cellStyle name="Čiarka 2 9 2 2 2" xfId="13360"/>
    <cellStyle name="Čiarka 2 9 2 2 3" xfId="19515"/>
    <cellStyle name="Čiarka 2 9 2 2 4" xfId="25642"/>
    <cellStyle name="Čiarka 2 9 2 3" xfId="10273"/>
    <cellStyle name="Čiarka 2 9 2 4" xfId="16438"/>
    <cellStyle name="Čiarka 2 9 2 5" xfId="22566"/>
    <cellStyle name="Čiarka 2 9 3" xfId="5793"/>
    <cellStyle name="Čiarka 2 9 3 2" xfId="12035"/>
    <cellStyle name="Čiarka 2 9 3 3" xfId="18190"/>
    <cellStyle name="Čiarka 2 9 3 4" xfId="24317"/>
    <cellStyle name="Čiarka 2 9 4" xfId="7958"/>
    <cellStyle name="Čiarka 2 9 4 2" xfId="11060"/>
    <cellStyle name="Čiarka 2 9 4 3" xfId="17215"/>
    <cellStyle name="Čiarka 2 9 4 4" xfId="23342"/>
    <cellStyle name="Čiarka 2 9 5" xfId="8947"/>
    <cellStyle name="Čiarka 2 9 6" xfId="15118"/>
    <cellStyle name="Čiarka 2 9 7" xfId="21246"/>
    <cellStyle name="Čiarka 3" xfId="280"/>
    <cellStyle name="Čiarka 3 2" xfId="1167"/>
    <cellStyle name="Čiarka 3 2 2" xfId="1760"/>
    <cellStyle name="Čiarka 3 2 3" xfId="1736"/>
    <cellStyle name="Čiarka 3 2 4" xfId="3998"/>
    <cellStyle name="Čiarka 3 3" xfId="1198"/>
    <cellStyle name="Čiarka 3 3 2" xfId="1880"/>
    <cellStyle name="Čiarka 3 4" xfId="1233"/>
    <cellStyle name="Čiarka 3 4 2" xfId="1585"/>
    <cellStyle name="Čiarka 3 4 3" xfId="4000"/>
    <cellStyle name="Čiarka 3 4 3 2" xfId="7120"/>
    <cellStyle name="Čiarka 3 4 3 2 2" xfId="13362"/>
    <cellStyle name="Čiarka 3 4 3 2 3" xfId="19517"/>
    <cellStyle name="Čiarka 3 4 3 2 4" xfId="25644"/>
    <cellStyle name="Čiarka 3 4 3 3" xfId="10275"/>
    <cellStyle name="Čiarka 3 4 3 4" xfId="16440"/>
    <cellStyle name="Čiarka 3 4 3 5" xfId="22568"/>
    <cellStyle name="Čiarka 3 4 4" xfId="3999"/>
    <cellStyle name="Čiarka 3 4 4 2" xfId="7119"/>
    <cellStyle name="Čiarka 3 4 4 2 2" xfId="13361"/>
    <cellStyle name="Čiarka 3 4 4 2 3" xfId="19516"/>
    <cellStyle name="Čiarka 3 4 4 2 4" xfId="25643"/>
    <cellStyle name="Čiarka 3 4 4 3" xfId="10274"/>
    <cellStyle name="Čiarka 3 4 4 4" xfId="16439"/>
    <cellStyle name="Čiarka 3 4 4 5" xfId="22567"/>
    <cellStyle name="Čiarka 3 4 5" xfId="5209"/>
    <cellStyle name="Čiarka 3 4 5 2" xfId="11451"/>
    <cellStyle name="Čiarka 3 4 5 3" xfId="17606"/>
    <cellStyle name="Čiarka 3 4 5 4" xfId="23733"/>
    <cellStyle name="Čiarka 3 4 6" xfId="8366"/>
    <cellStyle name="Čiarka 3 4 7" xfId="14742"/>
    <cellStyle name="Čiarka 3 4 8" xfId="20548"/>
    <cellStyle name="Čiarka 3 5" xfId="837"/>
    <cellStyle name="Čiarka 3 6" xfId="4001"/>
    <cellStyle name="Čiarka 4" xfId="281"/>
    <cellStyle name="Čiarka 4 2" xfId="1522"/>
    <cellStyle name="Čiarka 4 3" xfId="1904"/>
    <cellStyle name="Čiarka 4 4" xfId="1867"/>
    <cellStyle name="Čiarka 4 5" xfId="4002"/>
    <cellStyle name="Čiarka 5" xfId="282"/>
    <cellStyle name="Čiarka 5 2" xfId="1719"/>
    <cellStyle name="Čiarka 5 2 2" xfId="4003"/>
    <cellStyle name="Čiarka 5 2 2 2" xfId="7121"/>
    <cellStyle name="Čiarka 5 2 2 2 2" xfId="13363"/>
    <cellStyle name="Čiarka 5 2 2 2 3" xfId="19518"/>
    <cellStyle name="Čiarka 5 2 2 2 4" xfId="25645"/>
    <cellStyle name="Čiarka 5 2 2 3" xfId="10276"/>
    <cellStyle name="Čiarka 5 2 2 4" xfId="16441"/>
    <cellStyle name="Čiarka 5 2 2 5" xfId="22569"/>
    <cellStyle name="Čiarka 5 3" xfId="1691"/>
    <cellStyle name="Čiarka 5 4" xfId="1765"/>
    <cellStyle name="Čiarka 5 5" xfId="1420"/>
    <cellStyle name="Čiarka 5 6" xfId="4004"/>
    <cellStyle name="Čiarka 5 6 2" xfId="7122"/>
    <cellStyle name="Čiarka 5 6 2 2" xfId="13364"/>
    <cellStyle name="Čiarka 5 6 2 3" xfId="19519"/>
    <cellStyle name="Čiarka 5 6 2 4" xfId="25646"/>
    <cellStyle name="Čiarka 5 6 3" xfId="10277"/>
    <cellStyle name="Čiarka 5 6 4" xfId="16442"/>
    <cellStyle name="Čiarka 5 6 5" xfId="22570"/>
    <cellStyle name="Čiarka 6" xfId="1599"/>
    <cellStyle name="Čiarka 6 2" xfId="1411"/>
    <cellStyle name="Čiarka 6 3" xfId="4005"/>
    <cellStyle name="Čiarka 7" xfId="1466"/>
    <cellStyle name="Čiarka 7 2" xfId="1918"/>
    <cellStyle name="Čiarka 8" xfId="1761"/>
    <cellStyle name="Čiarka 8 2" xfId="4007"/>
    <cellStyle name="Čiarka 8 2 2" xfId="7124"/>
    <cellStyle name="Čiarka 8 2 2 2" xfId="13366"/>
    <cellStyle name="Čiarka 8 2 2 3" xfId="19521"/>
    <cellStyle name="Čiarka 8 2 2 4" xfId="25648"/>
    <cellStyle name="Čiarka 8 2 3" xfId="10279"/>
    <cellStyle name="Čiarka 8 2 4" xfId="16444"/>
    <cellStyle name="Čiarka 8 2 5" xfId="22572"/>
    <cellStyle name="Čiarka 8 3" xfId="4006"/>
    <cellStyle name="Čiarka 8 3 2" xfId="7123"/>
    <cellStyle name="Čiarka 8 3 2 2" xfId="13365"/>
    <cellStyle name="Čiarka 8 3 2 3" xfId="19520"/>
    <cellStyle name="Čiarka 8 3 2 4" xfId="25647"/>
    <cellStyle name="Čiarka 8 3 3" xfId="10278"/>
    <cellStyle name="Čiarka 8 3 4" xfId="16443"/>
    <cellStyle name="Čiarka 8 3 5" xfId="22571"/>
    <cellStyle name="Čiarka 8 4" xfId="5283"/>
    <cellStyle name="Čiarka 8 4 2" xfId="11525"/>
    <cellStyle name="Čiarka 8 4 3" xfId="17680"/>
    <cellStyle name="Čiarka 8 4 4" xfId="23807"/>
    <cellStyle name="Čiarka 8 5" xfId="8439"/>
    <cellStyle name="Čiarka 8 6" xfId="14743"/>
    <cellStyle name="Čiarka 8 7" xfId="20620"/>
    <cellStyle name="Čiarka 9" xfId="1835"/>
    <cellStyle name="čiarky [0]_table invoicing of rent 2003" xfId="1068"/>
    <cellStyle name="čiarky 2" xfId="294"/>
    <cellStyle name="čiarky 2 10" xfId="365"/>
    <cellStyle name="čiarky 2 10 2" xfId="4008"/>
    <cellStyle name="čiarky 2 10 2 2" xfId="7125"/>
    <cellStyle name="čiarky 2 10 2 2 2" xfId="13367"/>
    <cellStyle name="čiarky 2 10 2 2 3" xfId="19522"/>
    <cellStyle name="čiarky 2 10 2 2 4" xfId="25649"/>
    <cellStyle name="čiarky 2 10 2 3" xfId="10280"/>
    <cellStyle name="čiarky 2 10 2 4" xfId="16445"/>
    <cellStyle name="čiarky 2 10 2 5" xfId="22573"/>
    <cellStyle name="čiarky 2 11" xfId="366"/>
    <cellStyle name="čiarky 2 11 2" xfId="4009"/>
    <cellStyle name="čiarky 2 12" xfId="367"/>
    <cellStyle name="čiarky 2 12 2" xfId="4010"/>
    <cellStyle name="čiarky 2 12 2 2" xfId="7126"/>
    <cellStyle name="čiarky 2 12 2 2 2" xfId="13368"/>
    <cellStyle name="čiarky 2 12 2 2 3" xfId="19523"/>
    <cellStyle name="čiarky 2 12 2 2 4" xfId="25650"/>
    <cellStyle name="čiarky 2 12 2 3" xfId="10281"/>
    <cellStyle name="čiarky 2 12 2 4" xfId="16446"/>
    <cellStyle name="čiarky 2 12 2 5" xfId="22574"/>
    <cellStyle name="čiarky 2 13" xfId="368"/>
    <cellStyle name="čiarky 2 14" xfId="369"/>
    <cellStyle name="čiarky 2 15" xfId="370"/>
    <cellStyle name="čiarky 2 16" xfId="371"/>
    <cellStyle name="čiarky 2 17" xfId="830"/>
    <cellStyle name="čiarky 2 18" xfId="1214"/>
    <cellStyle name="čiarky 2 19" xfId="481"/>
    <cellStyle name="čiarky 2 2" xfId="372"/>
    <cellStyle name="čiarky 2 2 2" xfId="1069"/>
    <cellStyle name="čiarky 2 2 2 2" xfId="2363"/>
    <cellStyle name="čiarky 2 2 2 2 2" xfId="4012"/>
    <cellStyle name="čiarky 2 2 2 2 2 2" xfId="7128"/>
    <cellStyle name="čiarky 2 2 2 2 2 2 2" xfId="13370"/>
    <cellStyle name="čiarky 2 2 2 2 2 2 3" xfId="19525"/>
    <cellStyle name="čiarky 2 2 2 2 2 2 4" xfId="25652"/>
    <cellStyle name="čiarky 2 2 2 2 2 3" xfId="10283"/>
    <cellStyle name="čiarky 2 2 2 2 2 4" xfId="16448"/>
    <cellStyle name="čiarky 2 2 2 2 2 5" xfId="22576"/>
    <cellStyle name="čiarky 2 2 2 2 3" xfId="4011"/>
    <cellStyle name="čiarky 2 2 2 2 3 2" xfId="7127"/>
    <cellStyle name="čiarky 2 2 2 2 3 2 2" xfId="13369"/>
    <cellStyle name="čiarky 2 2 2 2 3 2 3" xfId="19524"/>
    <cellStyle name="čiarky 2 2 2 2 3 2 4" xfId="25651"/>
    <cellStyle name="čiarky 2 2 2 2 3 3" xfId="10282"/>
    <cellStyle name="čiarky 2 2 2 2 3 4" xfId="16447"/>
    <cellStyle name="čiarky 2 2 2 2 3 5" xfId="22575"/>
    <cellStyle name="čiarky 2 2 2 2 4" xfId="5676"/>
    <cellStyle name="čiarky 2 2 2 2 4 2" xfId="11918"/>
    <cellStyle name="čiarky 2 2 2 2 4 3" xfId="18073"/>
    <cellStyle name="čiarky 2 2 2 2 4 4" xfId="24200"/>
    <cellStyle name="čiarky 2 2 2 2 5" xfId="8830"/>
    <cellStyle name="čiarky 2 2 2 2 6" xfId="14744"/>
    <cellStyle name="čiarky 2 2 2 2 7" xfId="21010"/>
    <cellStyle name="čiarky 2 2 3" xfId="1275"/>
    <cellStyle name="čiarky 2 2 3 2" xfId="2189"/>
    <cellStyle name="čiarky 2 2 3 2 2" xfId="4014"/>
    <cellStyle name="čiarky 2 2 3 2 2 2" xfId="7130"/>
    <cellStyle name="čiarky 2 2 3 2 2 2 2" xfId="13372"/>
    <cellStyle name="čiarky 2 2 3 2 2 2 3" xfId="19527"/>
    <cellStyle name="čiarky 2 2 3 2 2 2 4" xfId="25654"/>
    <cellStyle name="čiarky 2 2 3 2 2 3" xfId="10285"/>
    <cellStyle name="čiarky 2 2 3 2 2 4" xfId="16450"/>
    <cellStyle name="čiarky 2 2 3 2 2 5" xfId="22578"/>
    <cellStyle name="čiarky 2 2 3 2 3" xfId="4013"/>
    <cellStyle name="čiarky 2 2 3 2 3 2" xfId="7129"/>
    <cellStyle name="čiarky 2 2 3 2 3 2 2" xfId="13371"/>
    <cellStyle name="čiarky 2 2 3 2 3 2 3" xfId="19526"/>
    <cellStyle name="čiarky 2 2 3 2 3 2 4" xfId="25653"/>
    <cellStyle name="čiarky 2 2 3 2 3 3" xfId="10284"/>
    <cellStyle name="čiarky 2 2 3 2 3 4" xfId="16449"/>
    <cellStyle name="čiarky 2 2 3 2 3 5" xfId="22577"/>
    <cellStyle name="čiarky 2 2 3 2 4" xfId="5502"/>
    <cellStyle name="čiarky 2 2 3 2 4 2" xfId="11744"/>
    <cellStyle name="čiarky 2 2 3 2 4 3" xfId="17899"/>
    <cellStyle name="čiarky 2 2 3 2 4 4" xfId="24026"/>
    <cellStyle name="čiarky 2 2 3 2 5" xfId="8656"/>
    <cellStyle name="čiarky 2 2 3 2 6" xfId="14745"/>
    <cellStyle name="čiarky 2 2 3 2 7" xfId="20836"/>
    <cellStyle name="čiarky 2 2 4" xfId="1305"/>
    <cellStyle name="čiarky 2 2 4 2" xfId="4016"/>
    <cellStyle name="čiarky 2 2 4 2 2" xfId="7132"/>
    <cellStyle name="čiarky 2 2 4 2 2 2" xfId="13374"/>
    <cellStyle name="čiarky 2 2 4 2 2 3" xfId="19529"/>
    <cellStyle name="čiarky 2 2 4 2 2 4" xfId="25656"/>
    <cellStyle name="čiarky 2 2 4 2 3" xfId="10287"/>
    <cellStyle name="čiarky 2 2 4 2 4" xfId="16452"/>
    <cellStyle name="čiarky 2 2 4 2 5" xfId="22580"/>
    <cellStyle name="čiarky 2 2 4 3" xfId="4015"/>
    <cellStyle name="čiarky 2 2 4 3 2" xfId="7131"/>
    <cellStyle name="čiarky 2 2 4 3 2 2" xfId="13373"/>
    <cellStyle name="čiarky 2 2 4 3 2 3" xfId="19528"/>
    <cellStyle name="čiarky 2 2 4 3 2 4" xfId="25655"/>
    <cellStyle name="čiarky 2 2 4 3 3" xfId="10286"/>
    <cellStyle name="čiarky 2 2 4 3 4" xfId="16451"/>
    <cellStyle name="čiarky 2 2 4 3 5" xfId="22579"/>
    <cellStyle name="čiarky 2 2 4 4" xfId="5224"/>
    <cellStyle name="čiarky 2 2 4 4 2" xfId="11466"/>
    <cellStyle name="čiarky 2 2 4 4 3" xfId="17621"/>
    <cellStyle name="čiarky 2 2 4 4 4" xfId="23748"/>
    <cellStyle name="čiarky 2 2 4 5" xfId="8380"/>
    <cellStyle name="čiarky 2 2 4 6" xfId="14746"/>
    <cellStyle name="čiarky 2 2 4 7" xfId="20562"/>
    <cellStyle name="čiarky 2 2 5" xfId="4017"/>
    <cellStyle name="čiarky 2 2 5 2" xfId="7133"/>
    <cellStyle name="čiarky 2 2 5 2 2" xfId="13375"/>
    <cellStyle name="čiarky 2 2 5 2 3" xfId="19530"/>
    <cellStyle name="čiarky 2 2 5 2 4" xfId="25657"/>
    <cellStyle name="čiarky 2 2 5 3" xfId="10288"/>
    <cellStyle name="čiarky 2 2 5 4" xfId="16453"/>
    <cellStyle name="čiarky 2 2 5 5" xfId="22581"/>
    <cellStyle name="čiarky 2 20" xfId="1283"/>
    <cellStyle name="čiarky 2 20 2" xfId="4019"/>
    <cellStyle name="čiarky 2 20 2 2" xfId="7135"/>
    <cellStyle name="čiarky 2 20 2 2 2" xfId="13377"/>
    <cellStyle name="čiarky 2 20 2 2 3" xfId="19532"/>
    <cellStyle name="čiarky 2 20 2 2 4" xfId="25659"/>
    <cellStyle name="čiarky 2 20 2 3" xfId="10290"/>
    <cellStyle name="čiarky 2 20 2 4" xfId="16455"/>
    <cellStyle name="čiarky 2 20 2 5" xfId="22583"/>
    <cellStyle name="čiarky 2 20 3" xfId="4018"/>
    <cellStyle name="čiarky 2 20 3 2" xfId="7134"/>
    <cellStyle name="čiarky 2 20 3 2 2" xfId="13376"/>
    <cellStyle name="čiarky 2 20 3 2 3" xfId="19531"/>
    <cellStyle name="čiarky 2 20 3 2 4" xfId="25658"/>
    <cellStyle name="čiarky 2 20 3 3" xfId="10289"/>
    <cellStyle name="čiarky 2 20 3 4" xfId="16454"/>
    <cellStyle name="čiarky 2 20 3 5" xfId="22582"/>
    <cellStyle name="čiarky 2 20 4" xfId="5215"/>
    <cellStyle name="čiarky 2 20 4 2" xfId="11457"/>
    <cellStyle name="čiarky 2 20 4 3" xfId="17612"/>
    <cellStyle name="čiarky 2 20 4 4" xfId="23739"/>
    <cellStyle name="čiarky 2 20 5" xfId="8371"/>
    <cellStyle name="čiarky 2 20 6" xfId="14747"/>
    <cellStyle name="čiarky 2 20 7" xfId="20553"/>
    <cellStyle name="čiarky 2 21" xfId="1330"/>
    <cellStyle name="čiarky 2 22" xfId="364"/>
    <cellStyle name="čiarky 2 3" xfId="373"/>
    <cellStyle name="čiarky 2 3 2" xfId="2439"/>
    <cellStyle name="čiarky 2 3 2 2" xfId="4021"/>
    <cellStyle name="čiarky 2 3 2 2 2" xfId="7137"/>
    <cellStyle name="čiarky 2 3 2 2 2 2" xfId="13379"/>
    <cellStyle name="čiarky 2 3 2 2 2 3" xfId="19534"/>
    <cellStyle name="čiarky 2 3 2 2 2 4" xfId="25661"/>
    <cellStyle name="čiarky 2 3 2 2 3" xfId="10292"/>
    <cellStyle name="čiarky 2 3 2 2 4" xfId="16457"/>
    <cellStyle name="čiarky 2 3 2 2 5" xfId="22585"/>
    <cellStyle name="čiarky 2 3 2 3" xfId="4020"/>
    <cellStyle name="čiarky 2 3 2 3 2" xfId="7136"/>
    <cellStyle name="čiarky 2 3 2 3 2 2" xfId="13378"/>
    <cellStyle name="čiarky 2 3 2 3 2 3" xfId="19533"/>
    <cellStyle name="čiarky 2 3 2 3 2 4" xfId="25660"/>
    <cellStyle name="čiarky 2 3 2 3 3" xfId="10291"/>
    <cellStyle name="čiarky 2 3 2 3 4" xfId="16456"/>
    <cellStyle name="čiarky 2 3 2 3 5" xfId="22584"/>
    <cellStyle name="čiarky 2 3 2 4" xfId="5752"/>
    <cellStyle name="čiarky 2 3 2 4 2" xfId="11994"/>
    <cellStyle name="čiarky 2 3 2 4 3" xfId="18149"/>
    <cellStyle name="čiarky 2 3 2 4 4" xfId="24276"/>
    <cellStyle name="čiarky 2 3 2 5" xfId="8906"/>
    <cellStyle name="čiarky 2 3 2 6" xfId="14748"/>
    <cellStyle name="čiarky 2 3 2 7" xfId="21086"/>
    <cellStyle name="čiarky 2 3 3" xfId="2267"/>
    <cellStyle name="čiarky 2 3 3 2" xfId="4023"/>
    <cellStyle name="čiarky 2 3 3 2 2" xfId="7139"/>
    <cellStyle name="čiarky 2 3 3 2 2 2" xfId="13381"/>
    <cellStyle name="čiarky 2 3 3 2 2 3" xfId="19536"/>
    <cellStyle name="čiarky 2 3 3 2 2 4" xfId="25663"/>
    <cellStyle name="čiarky 2 3 3 2 3" xfId="10294"/>
    <cellStyle name="čiarky 2 3 3 2 4" xfId="16459"/>
    <cellStyle name="čiarky 2 3 3 2 5" xfId="22587"/>
    <cellStyle name="čiarky 2 3 3 3" xfId="4022"/>
    <cellStyle name="čiarky 2 3 3 3 2" xfId="7138"/>
    <cellStyle name="čiarky 2 3 3 3 2 2" xfId="13380"/>
    <cellStyle name="čiarky 2 3 3 3 2 3" xfId="19535"/>
    <cellStyle name="čiarky 2 3 3 3 2 4" xfId="25662"/>
    <cellStyle name="čiarky 2 3 3 3 3" xfId="10293"/>
    <cellStyle name="čiarky 2 3 3 3 4" xfId="16458"/>
    <cellStyle name="čiarky 2 3 3 3 5" xfId="22586"/>
    <cellStyle name="čiarky 2 3 3 4" xfId="5580"/>
    <cellStyle name="čiarky 2 3 3 4 2" xfId="11822"/>
    <cellStyle name="čiarky 2 3 3 4 3" xfId="17977"/>
    <cellStyle name="čiarky 2 3 3 4 4" xfId="24104"/>
    <cellStyle name="čiarky 2 3 3 5" xfId="8734"/>
    <cellStyle name="čiarky 2 3 3 6" xfId="14749"/>
    <cellStyle name="čiarky 2 3 3 7" xfId="20914"/>
    <cellStyle name="čiarky 2 3 4" xfId="2054"/>
    <cellStyle name="čiarky 2 3 4 2" xfId="4025"/>
    <cellStyle name="čiarky 2 3 4 2 2" xfId="7141"/>
    <cellStyle name="čiarky 2 3 4 2 2 2" xfId="13383"/>
    <cellStyle name="čiarky 2 3 4 2 2 3" xfId="19538"/>
    <cellStyle name="čiarky 2 3 4 2 2 4" xfId="25665"/>
    <cellStyle name="čiarky 2 3 4 2 3" xfId="10296"/>
    <cellStyle name="čiarky 2 3 4 2 4" xfId="16461"/>
    <cellStyle name="čiarky 2 3 4 2 5" xfId="22589"/>
    <cellStyle name="čiarky 2 3 4 3" xfId="4024"/>
    <cellStyle name="čiarky 2 3 4 3 2" xfId="7140"/>
    <cellStyle name="čiarky 2 3 4 3 2 2" xfId="13382"/>
    <cellStyle name="čiarky 2 3 4 3 2 3" xfId="19537"/>
    <cellStyle name="čiarky 2 3 4 3 2 4" xfId="25664"/>
    <cellStyle name="čiarky 2 3 4 3 3" xfId="10295"/>
    <cellStyle name="čiarky 2 3 4 3 4" xfId="16460"/>
    <cellStyle name="čiarky 2 3 4 3 5" xfId="22588"/>
    <cellStyle name="čiarky 2 3 4 4" xfId="5392"/>
    <cellStyle name="čiarky 2 3 4 4 2" xfId="11634"/>
    <cellStyle name="čiarky 2 3 4 4 3" xfId="17789"/>
    <cellStyle name="čiarky 2 3 4 4 4" xfId="23916"/>
    <cellStyle name="čiarky 2 3 4 5" xfId="8547"/>
    <cellStyle name="čiarky 2 3 4 6" xfId="14750"/>
    <cellStyle name="čiarky 2 3 4 7" xfId="20727"/>
    <cellStyle name="čiarky 2 4" xfId="374"/>
    <cellStyle name="čiarky 2 4 2" xfId="2449"/>
    <cellStyle name="čiarky 2 4 2 2" xfId="4027"/>
    <cellStyle name="čiarky 2 4 2 2 2" xfId="7143"/>
    <cellStyle name="čiarky 2 4 2 2 2 2" xfId="13385"/>
    <cellStyle name="čiarky 2 4 2 2 2 3" xfId="19540"/>
    <cellStyle name="čiarky 2 4 2 2 2 4" xfId="25667"/>
    <cellStyle name="čiarky 2 4 2 2 3" xfId="10298"/>
    <cellStyle name="čiarky 2 4 2 2 4" xfId="16463"/>
    <cellStyle name="čiarky 2 4 2 2 5" xfId="22591"/>
    <cellStyle name="čiarky 2 4 2 3" xfId="4026"/>
    <cellStyle name="čiarky 2 4 2 3 2" xfId="7142"/>
    <cellStyle name="čiarky 2 4 2 3 2 2" xfId="13384"/>
    <cellStyle name="čiarky 2 4 2 3 2 3" xfId="19539"/>
    <cellStyle name="čiarky 2 4 2 3 2 4" xfId="25666"/>
    <cellStyle name="čiarky 2 4 2 3 3" xfId="10297"/>
    <cellStyle name="čiarky 2 4 2 3 4" xfId="16462"/>
    <cellStyle name="čiarky 2 4 2 3 5" xfId="22590"/>
    <cellStyle name="čiarky 2 4 2 4" xfId="5762"/>
    <cellStyle name="čiarky 2 4 2 4 2" xfId="12004"/>
    <cellStyle name="čiarky 2 4 2 4 3" xfId="18159"/>
    <cellStyle name="čiarky 2 4 2 4 4" xfId="24286"/>
    <cellStyle name="čiarky 2 4 2 5" xfId="8916"/>
    <cellStyle name="čiarky 2 4 2 6" xfId="14751"/>
    <cellStyle name="čiarky 2 4 2 7" xfId="21096"/>
    <cellStyle name="čiarky 2 4 3" xfId="2277"/>
    <cellStyle name="čiarky 2 4 3 2" xfId="4029"/>
    <cellStyle name="čiarky 2 4 3 2 2" xfId="7145"/>
    <cellStyle name="čiarky 2 4 3 2 2 2" xfId="13387"/>
    <cellStyle name="čiarky 2 4 3 2 2 3" xfId="19542"/>
    <cellStyle name="čiarky 2 4 3 2 2 4" xfId="25669"/>
    <cellStyle name="čiarky 2 4 3 2 3" xfId="10300"/>
    <cellStyle name="čiarky 2 4 3 2 4" xfId="16465"/>
    <cellStyle name="čiarky 2 4 3 2 5" xfId="22593"/>
    <cellStyle name="čiarky 2 4 3 3" xfId="4028"/>
    <cellStyle name="čiarky 2 4 3 3 2" xfId="7144"/>
    <cellStyle name="čiarky 2 4 3 3 2 2" xfId="13386"/>
    <cellStyle name="čiarky 2 4 3 3 2 3" xfId="19541"/>
    <cellStyle name="čiarky 2 4 3 3 2 4" xfId="25668"/>
    <cellStyle name="čiarky 2 4 3 3 3" xfId="10299"/>
    <cellStyle name="čiarky 2 4 3 3 4" xfId="16464"/>
    <cellStyle name="čiarky 2 4 3 3 5" xfId="22592"/>
    <cellStyle name="čiarky 2 4 3 4" xfId="5590"/>
    <cellStyle name="čiarky 2 4 3 4 2" xfId="11832"/>
    <cellStyle name="čiarky 2 4 3 4 3" xfId="17987"/>
    <cellStyle name="čiarky 2 4 3 4 4" xfId="24114"/>
    <cellStyle name="čiarky 2 4 3 5" xfId="8744"/>
    <cellStyle name="čiarky 2 4 3 6" xfId="14752"/>
    <cellStyle name="čiarky 2 4 3 7" xfId="20924"/>
    <cellStyle name="čiarky 2 4 4" xfId="2064"/>
    <cellStyle name="čiarky 2 4 4 2" xfId="4031"/>
    <cellStyle name="čiarky 2 4 4 2 2" xfId="7147"/>
    <cellStyle name="čiarky 2 4 4 2 2 2" xfId="13389"/>
    <cellStyle name="čiarky 2 4 4 2 2 3" xfId="19544"/>
    <cellStyle name="čiarky 2 4 4 2 2 4" xfId="25671"/>
    <cellStyle name="čiarky 2 4 4 2 3" xfId="10302"/>
    <cellStyle name="čiarky 2 4 4 2 4" xfId="16467"/>
    <cellStyle name="čiarky 2 4 4 2 5" xfId="22595"/>
    <cellStyle name="čiarky 2 4 4 3" xfId="4030"/>
    <cellStyle name="čiarky 2 4 4 3 2" xfId="7146"/>
    <cellStyle name="čiarky 2 4 4 3 2 2" xfId="13388"/>
    <cellStyle name="čiarky 2 4 4 3 2 3" xfId="19543"/>
    <cellStyle name="čiarky 2 4 4 3 2 4" xfId="25670"/>
    <cellStyle name="čiarky 2 4 4 3 3" xfId="10301"/>
    <cellStyle name="čiarky 2 4 4 3 4" xfId="16466"/>
    <cellStyle name="čiarky 2 4 4 3 5" xfId="22594"/>
    <cellStyle name="čiarky 2 4 4 4" xfId="5402"/>
    <cellStyle name="čiarky 2 4 4 4 2" xfId="11644"/>
    <cellStyle name="čiarky 2 4 4 4 3" xfId="17799"/>
    <cellStyle name="čiarky 2 4 4 4 4" xfId="23926"/>
    <cellStyle name="čiarky 2 4 4 5" xfId="8557"/>
    <cellStyle name="čiarky 2 4 4 6" xfId="14753"/>
    <cellStyle name="čiarky 2 4 4 7" xfId="20737"/>
    <cellStyle name="čiarky 2 5" xfId="375"/>
    <cellStyle name="čiarky 2 5 2" xfId="2082"/>
    <cellStyle name="čiarky 2 6" xfId="376"/>
    <cellStyle name="čiarky 2 6 2" xfId="2284"/>
    <cellStyle name="čiarky 2 6 2 2" xfId="4033"/>
    <cellStyle name="čiarky 2 6 2 2 2" xfId="7149"/>
    <cellStyle name="čiarky 2 6 2 2 2 2" xfId="13391"/>
    <cellStyle name="čiarky 2 6 2 2 2 3" xfId="19546"/>
    <cellStyle name="čiarky 2 6 2 2 2 4" xfId="25673"/>
    <cellStyle name="čiarky 2 6 2 2 3" xfId="10304"/>
    <cellStyle name="čiarky 2 6 2 2 4" xfId="16469"/>
    <cellStyle name="čiarky 2 6 2 2 5" xfId="22597"/>
    <cellStyle name="čiarky 2 6 2 3" xfId="4032"/>
    <cellStyle name="čiarky 2 6 2 3 2" xfId="7148"/>
    <cellStyle name="čiarky 2 6 2 3 2 2" xfId="13390"/>
    <cellStyle name="čiarky 2 6 2 3 2 3" xfId="19545"/>
    <cellStyle name="čiarky 2 6 2 3 2 4" xfId="25672"/>
    <cellStyle name="čiarky 2 6 2 3 3" xfId="10303"/>
    <cellStyle name="čiarky 2 6 2 3 4" xfId="16468"/>
    <cellStyle name="čiarky 2 6 2 3 5" xfId="22596"/>
    <cellStyle name="čiarky 2 6 2 4" xfId="5597"/>
    <cellStyle name="čiarky 2 6 2 4 2" xfId="11839"/>
    <cellStyle name="čiarky 2 6 2 4 3" xfId="17994"/>
    <cellStyle name="čiarky 2 6 2 4 4" xfId="24121"/>
    <cellStyle name="čiarky 2 6 2 5" xfId="8751"/>
    <cellStyle name="čiarky 2 6 2 6" xfId="14754"/>
    <cellStyle name="čiarky 2 6 2 7" xfId="20931"/>
    <cellStyle name="čiarky 2 6 3" xfId="2096"/>
    <cellStyle name="čiarky 2 6 3 2" xfId="4035"/>
    <cellStyle name="čiarky 2 6 3 2 2" xfId="7151"/>
    <cellStyle name="čiarky 2 6 3 2 2 2" xfId="13393"/>
    <cellStyle name="čiarky 2 6 3 2 2 3" xfId="19548"/>
    <cellStyle name="čiarky 2 6 3 2 2 4" xfId="25675"/>
    <cellStyle name="čiarky 2 6 3 2 3" xfId="10306"/>
    <cellStyle name="čiarky 2 6 3 2 4" xfId="16471"/>
    <cellStyle name="čiarky 2 6 3 2 5" xfId="22599"/>
    <cellStyle name="čiarky 2 6 3 3" xfId="4034"/>
    <cellStyle name="čiarky 2 6 3 3 2" xfId="7150"/>
    <cellStyle name="čiarky 2 6 3 3 2 2" xfId="13392"/>
    <cellStyle name="čiarky 2 6 3 3 2 3" xfId="19547"/>
    <cellStyle name="čiarky 2 6 3 3 2 4" xfId="25674"/>
    <cellStyle name="čiarky 2 6 3 3 3" xfId="10305"/>
    <cellStyle name="čiarky 2 6 3 3 4" xfId="16470"/>
    <cellStyle name="čiarky 2 6 3 3 5" xfId="22598"/>
    <cellStyle name="čiarky 2 6 3 4" xfId="5413"/>
    <cellStyle name="čiarky 2 6 3 4 2" xfId="11655"/>
    <cellStyle name="čiarky 2 6 3 4 3" xfId="17810"/>
    <cellStyle name="čiarky 2 6 3 4 4" xfId="23937"/>
    <cellStyle name="čiarky 2 6 3 5" xfId="8567"/>
    <cellStyle name="čiarky 2 6 3 6" xfId="14755"/>
    <cellStyle name="čiarky 2 6 3 7" xfId="20747"/>
    <cellStyle name="čiarky 2 7" xfId="377"/>
    <cellStyle name="čiarky 2 7 2" xfId="2112"/>
    <cellStyle name="čiarky 2 7 2 2" xfId="4037"/>
    <cellStyle name="čiarky 2 7 2 2 2" xfId="7153"/>
    <cellStyle name="čiarky 2 7 2 2 2 2" xfId="13395"/>
    <cellStyle name="čiarky 2 7 2 2 2 3" xfId="19550"/>
    <cellStyle name="čiarky 2 7 2 2 2 4" xfId="25677"/>
    <cellStyle name="čiarky 2 7 2 2 3" xfId="10308"/>
    <cellStyle name="čiarky 2 7 2 2 4" xfId="16473"/>
    <cellStyle name="čiarky 2 7 2 2 5" xfId="22601"/>
    <cellStyle name="čiarky 2 7 2 3" xfId="4036"/>
    <cellStyle name="čiarky 2 7 2 3 2" xfId="7152"/>
    <cellStyle name="čiarky 2 7 2 3 2 2" xfId="13394"/>
    <cellStyle name="čiarky 2 7 2 3 2 3" xfId="19549"/>
    <cellStyle name="čiarky 2 7 2 3 2 4" xfId="25676"/>
    <cellStyle name="čiarky 2 7 2 3 3" xfId="10307"/>
    <cellStyle name="čiarky 2 7 2 3 4" xfId="16472"/>
    <cellStyle name="čiarky 2 7 2 3 5" xfId="22600"/>
    <cellStyle name="čiarky 2 7 2 4" xfId="5425"/>
    <cellStyle name="čiarky 2 7 2 4 2" xfId="11667"/>
    <cellStyle name="čiarky 2 7 2 4 3" xfId="17822"/>
    <cellStyle name="čiarky 2 7 2 4 4" xfId="23949"/>
    <cellStyle name="čiarky 2 7 2 5" xfId="8579"/>
    <cellStyle name="čiarky 2 7 2 6" xfId="14756"/>
    <cellStyle name="čiarky 2 7 2 7" xfId="20759"/>
    <cellStyle name="čiarky 2 8" xfId="378"/>
    <cellStyle name="čiarky 2 8 2" xfId="4038"/>
    <cellStyle name="čiarky 2 8 2 2" xfId="7154"/>
    <cellStyle name="čiarky 2 8 2 2 2" xfId="13396"/>
    <cellStyle name="čiarky 2 8 2 2 3" xfId="19551"/>
    <cellStyle name="čiarky 2 8 2 2 4" xfId="25678"/>
    <cellStyle name="čiarky 2 8 2 3" xfId="10309"/>
    <cellStyle name="čiarky 2 8 2 4" xfId="16474"/>
    <cellStyle name="čiarky 2 8 2 5" xfId="22602"/>
    <cellStyle name="čiarky 2 9" xfId="379"/>
    <cellStyle name="čiarky 2 9 2" xfId="4039"/>
    <cellStyle name="čiarky 2 9 2 2" xfId="7155"/>
    <cellStyle name="čiarky 2 9 2 2 2" xfId="13397"/>
    <cellStyle name="čiarky 2 9 2 2 3" xfId="19552"/>
    <cellStyle name="čiarky 2 9 2 2 4" xfId="25679"/>
    <cellStyle name="čiarky 2 9 2 3" xfId="10310"/>
    <cellStyle name="čiarky 2 9 2 4" xfId="16475"/>
    <cellStyle name="čiarky 2 9 2 5" xfId="22603"/>
    <cellStyle name="čiarky 3" xfId="847"/>
    <cellStyle name="čiarky 3 10" xfId="20514"/>
    <cellStyle name="čiarky 3 2" xfId="1070"/>
    <cellStyle name="čiarky 3 2 2" xfId="1927"/>
    <cellStyle name="čiarky 3 2 2 2" xfId="4042"/>
    <cellStyle name="čiarky 3 2 2 2 2" xfId="7158"/>
    <cellStyle name="čiarky 3 2 2 2 2 2" xfId="13400"/>
    <cellStyle name="čiarky 3 2 2 2 2 3" xfId="19555"/>
    <cellStyle name="čiarky 3 2 2 2 2 4" xfId="25682"/>
    <cellStyle name="čiarky 3 2 2 2 3" xfId="10313"/>
    <cellStyle name="čiarky 3 2 2 2 4" xfId="16478"/>
    <cellStyle name="čiarky 3 2 2 2 5" xfId="22606"/>
    <cellStyle name="čiarky 3 2 2 3" xfId="4041"/>
    <cellStyle name="čiarky 3 2 2 3 2" xfId="7157"/>
    <cellStyle name="čiarky 3 2 2 3 2 2" xfId="13399"/>
    <cellStyle name="čiarky 3 2 2 3 2 3" xfId="19554"/>
    <cellStyle name="čiarky 3 2 2 3 2 4" xfId="25681"/>
    <cellStyle name="čiarky 3 2 2 3 3" xfId="10312"/>
    <cellStyle name="čiarky 3 2 2 3 4" xfId="16477"/>
    <cellStyle name="čiarky 3 2 2 3 5" xfId="22605"/>
    <cellStyle name="čiarky 3 2 2 4" xfId="5315"/>
    <cellStyle name="čiarky 3 2 2 4 2" xfId="11557"/>
    <cellStyle name="čiarky 3 2 2 4 3" xfId="17712"/>
    <cellStyle name="čiarky 3 2 2 4 4" xfId="23839"/>
    <cellStyle name="čiarky 3 2 2 5" xfId="8469"/>
    <cellStyle name="čiarky 3 2 2 6" xfId="14758"/>
    <cellStyle name="čiarky 3 2 2 7" xfId="20650"/>
    <cellStyle name="čiarky 3 3" xfId="1851"/>
    <cellStyle name="čiarky 3 4" xfId="2527"/>
    <cellStyle name="čiarky 3 5" xfId="4043"/>
    <cellStyle name="čiarky 3 5 2" xfId="7159"/>
    <cellStyle name="čiarky 3 5 2 2" xfId="13401"/>
    <cellStyle name="čiarky 3 5 2 3" xfId="19556"/>
    <cellStyle name="čiarky 3 5 2 4" xfId="25683"/>
    <cellStyle name="čiarky 3 5 3" xfId="10314"/>
    <cellStyle name="čiarky 3 5 4" xfId="16479"/>
    <cellStyle name="čiarky 3 5 5" xfId="22607"/>
    <cellStyle name="čiarky 3 6" xfId="4040"/>
    <cellStyle name="čiarky 3 6 2" xfId="7156"/>
    <cellStyle name="čiarky 3 6 2 2" xfId="13398"/>
    <cellStyle name="čiarky 3 6 2 3" xfId="19553"/>
    <cellStyle name="čiarky 3 6 2 4" xfId="25680"/>
    <cellStyle name="čiarky 3 6 3" xfId="10311"/>
    <cellStyle name="čiarky 3 6 4" xfId="16476"/>
    <cellStyle name="čiarky 3 6 5" xfId="22604"/>
    <cellStyle name="čiarky 3 7" xfId="5174"/>
    <cellStyle name="čiarky 3 7 2" xfId="11417"/>
    <cellStyle name="čiarky 3 7 3" xfId="17572"/>
    <cellStyle name="čiarky 3 7 4" xfId="23699"/>
    <cellStyle name="čiarky 3 8" xfId="8331"/>
    <cellStyle name="čiarky 3 9" xfId="14757"/>
    <cellStyle name="čiarky 4" xfId="1818"/>
    <cellStyle name="čiarky 5" xfId="1618"/>
    <cellStyle name="čiarky 5 2" xfId="4045"/>
    <cellStyle name="čiarky 5 2 2" xfId="7161"/>
    <cellStyle name="čiarky 5 2 2 2" xfId="13403"/>
    <cellStyle name="čiarky 5 2 2 3" xfId="19558"/>
    <cellStyle name="čiarky 5 2 2 4" xfId="25685"/>
    <cellStyle name="čiarky 5 2 3" xfId="10316"/>
    <cellStyle name="čiarky 5 2 4" xfId="16481"/>
    <cellStyle name="čiarky 5 2 5" xfId="22609"/>
    <cellStyle name="čiarky 5 3" xfId="4044"/>
    <cellStyle name="čiarky 5 3 2" xfId="7160"/>
    <cellStyle name="čiarky 5 3 2 2" xfId="13402"/>
    <cellStyle name="čiarky 5 3 2 3" xfId="19557"/>
    <cellStyle name="čiarky 5 3 2 4" xfId="25684"/>
    <cellStyle name="čiarky 5 3 3" xfId="10315"/>
    <cellStyle name="čiarky 5 3 4" xfId="16480"/>
    <cellStyle name="čiarky 5 3 5" xfId="22608"/>
    <cellStyle name="čiarky 5 4" xfId="5261"/>
    <cellStyle name="čiarky 5 4 2" xfId="11503"/>
    <cellStyle name="čiarky 5 4 3" xfId="17658"/>
    <cellStyle name="čiarky 5 4 4" xfId="23785"/>
    <cellStyle name="čiarky 5 5" xfId="8418"/>
    <cellStyle name="čiarky 5 6" xfId="14759"/>
    <cellStyle name="čiarky 5 7" xfId="20599"/>
    <cellStyle name="čiarky 6" xfId="1756"/>
    <cellStyle name="čiarky 7" xfId="1891"/>
    <cellStyle name="čiarky 8" xfId="1387"/>
    <cellStyle name="čiarky 8 2" xfId="4047"/>
    <cellStyle name="čiarky 8 2 2" xfId="7163"/>
    <cellStyle name="čiarky 8 2 2 2" xfId="13405"/>
    <cellStyle name="čiarky 8 2 2 3" xfId="19560"/>
    <cellStyle name="čiarky 8 2 2 4" xfId="25687"/>
    <cellStyle name="čiarky 8 2 3" xfId="10318"/>
    <cellStyle name="čiarky 8 2 4" xfId="16483"/>
    <cellStyle name="čiarky 8 2 5" xfId="22611"/>
    <cellStyle name="čiarky 8 3" xfId="4046"/>
    <cellStyle name="čiarky 8 3 2" xfId="7162"/>
    <cellStyle name="čiarky 8 3 2 2" xfId="13404"/>
    <cellStyle name="čiarky 8 3 2 3" xfId="19559"/>
    <cellStyle name="čiarky 8 3 2 4" xfId="25686"/>
    <cellStyle name="čiarky 8 3 3" xfId="10317"/>
    <cellStyle name="čiarky 8 3 4" xfId="16482"/>
    <cellStyle name="čiarky 8 3 5" xfId="22610"/>
    <cellStyle name="čiarky 8 4" xfId="5231"/>
    <cellStyle name="čiarky 8 4 2" xfId="11473"/>
    <cellStyle name="čiarky 8 4 3" xfId="17628"/>
    <cellStyle name="čiarky 8 4 4" xfId="23755"/>
    <cellStyle name="čiarky 8 5" xfId="8387"/>
    <cellStyle name="čiarky 8 6" xfId="14760"/>
    <cellStyle name="čiarky 8 7" xfId="20569"/>
    <cellStyle name="čiarky_VAL_VZOR_2009_b" xfId="866"/>
    <cellStyle name="Dan" xfId="551"/>
    <cellStyle name="Date" xfId="552"/>
    <cellStyle name="Decimal_0dp" xfId="1855"/>
    <cellStyle name="Dezimal [0]_Abfrage0" xfId="553"/>
    <cellStyle name="Dezimal_Abfrage0" xfId="554"/>
    <cellStyle name="Dobrá" xfId="19"/>
    <cellStyle name="Dobrá 2" xfId="1569"/>
    <cellStyle name="Dobrá 3" xfId="2567"/>
    <cellStyle name="Dobrá 4" xfId="7959"/>
    <cellStyle name="Dobrá 5" xfId="14177"/>
    <cellStyle name="Dziesiętny_analiza mixu budget 2003" xfId="555"/>
    <cellStyle name="Ecart" xfId="556"/>
    <cellStyle name="Edited_Data" xfId="557"/>
    <cellStyle name="Emploi" xfId="558"/>
    <cellStyle name="En_milliers" xfId="559"/>
    <cellStyle name="Entered" xfId="1408"/>
    <cellStyle name="En-tête 1" xfId="560"/>
    <cellStyle name="En-tête 2" xfId="561"/>
    <cellStyle name="Entrée" xfId="562"/>
    <cellStyle name="Estimated_Data" xfId="563"/>
    <cellStyle name="Euro" xfId="564"/>
    <cellStyle name="Euro 2" xfId="1071"/>
    <cellStyle name="Euro 2 2" xfId="748"/>
    <cellStyle name="Euro 2 2 2" xfId="749"/>
    <cellStyle name="Euro 3" xfId="1575"/>
    <cellStyle name="Excel Built-in Normal" xfId="380"/>
    <cellStyle name="Excel Built-in Normal 1" xfId="1754"/>
    <cellStyle name="Excel Built-in Normal 2" xfId="1210"/>
    <cellStyle name="Excel Built-in Normal 2 2" xfId="1898"/>
    <cellStyle name="Excel Built-in Normal 3" xfId="320"/>
    <cellStyle name="Excel Built-in Normal 3 2" xfId="1436"/>
    <cellStyle name="Excel Built-in Normal 3 3" xfId="1221"/>
    <cellStyle name="Excel Built-in Normal 4" xfId="1231"/>
    <cellStyle name="Excel Built-in Normal 4 2" xfId="1389"/>
    <cellStyle name="Excel Built-in Normal 5" xfId="1238"/>
    <cellStyle name="Excel Built-in Normal 6" xfId="1646"/>
    <cellStyle name="Excel_BuiltIn_Comma" xfId="295"/>
    <cellStyle name="Explanatory Text 2" xfId="132"/>
    <cellStyle name="Explanatory Text 2 2" xfId="1072"/>
    <cellStyle name="Explanatory Text 3" xfId="133"/>
    <cellStyle name="Explanatory Text 4" xfId="7960"/>
    <cellStyle name="Financier0" xfId="565"/>
    <cellStyle name="Fixed" xfId="566"/>
    <cellStyle name="Forecast_Data" xfId="567"/>
    <cellStyle name="G. Hofer" xfId="568"/>
    <cellStyle name="Good 2" xfId="134"/>
    <cellStyle name="Good 2 2" xfId="1073"/>
    <cellStyle name="Good 2 3" xfId="1922"/>
    <cellStyle name="Good 3" xfId="135"/>
    <cellStyle name="Grey" xfId="1395"/>
    <cellStyle name="Header1" xfId="1625"/>
    <cellStyle name="Header2" xfId="1661"/>
    <cellStyle name="Heading" xfId="296"/>
    <cellStyle name="Heading 1 2" xfId="136"/>
    <cellStyle name="Heading 1 2 2" xfId="1075"/>
    <cellStyle name="Heading 1 3" xfId="137"/>
    <cellStyle name="Heading 1 4" xfId="7961"/>
    <cellStyle name="Heading 2 2" xfId="138"/>
    <cellStyle name="Heading 2 2 2" xfId="1076"/>
    <cellStyle name="Heading 2 3" xfId="139"/>
    <cellStyle name="Heading 2 4" xfId="7962"/>
    <cellStyle name="Heading 3 2" xfId="140"/>
    <cellStyle name="Heading 3 2 2" xfId="1077"/>
    <cellStyle name="Heading 3 3" xfId="141"/>
    <cellStyle name="Heading 3 4" xfId="7963"/>
    <cellStyle name="Heading 4 2" xfId="142"/>
    <cellStyle name="Heading 4 2 2" xfId="1078"/>
    <cellStyle name="Heading 4 3" xfId="143"/>
    <cellStyle name="Heading 4 4" xfId="7964"/>
    <cellStyle name="Heading 5" xfId="1074"/>
    <cellStyle name="Heading 5 2" xfId="1511"/>
    <cellStyle name="Heading 6" xfId="1410"/>
    <cellStyle name="Heading1" xfId="297"/>
    <cellStyle name="Heading1 2" xfId="1923"/>
    <cellStyle name="Heading1 3" xfId="1565"/>
    <cellStyle name="HERVE" xfId="569"/>
    <cellStyle name="Hiperłącze" xfId="570"/>
    <cellStyle name="Hiperligação" xfId="571"/>
    <cellStyle name="Hiperligação visitada" xfId="572"/>
    <cellStyle name="Hiperligação_AC Réalisé CRM JAN08" xfId="573"/>
    <cellStyle name="Hyperlink 2" xfId="750"/>
    <cellStyle name="Hyperlink 2 2" xfId="1187"/>
    <cellStyle name="Hyperlink 2 3" xfId="1177"/>
    <cellStyle name="Hyperlink 2 4" xfId="1476"/>
    <cellStyle name="Hyperlink 2 5" xfId="2537"/>
    <cellStyle name="Hyperlink 3" xfId="1193"/>
    <cellStyle name="Hyperlink 3 2" xfId="1622"/>
    <cellStyle name="Hyperlink 3 3" xfId="1981"/>
    <cellStyle name="Hyperlink 4" xfId="2107"/>
    <cellStyle name="Hypertextové prepojenie 2" xfId="1948"/>
    <cellStyle name="Hypertextové prepojenie 2 2" xfId="4048"/>
    <cellStyle name="charge" xfId="574"/>
    <cellStyle name="charge 2" xfId="1738"/>
    <cellStyle name="charge 2 2" xfId="7965"/>
    <cellStyle name="charge 2 2 2" xfId="11049"/>
    <cellStyle name="charge 2 2 2 2" xfId="17206"/>
    <cellStyle name="ChartingText" xfId="1758"/>
    <cellStyle name="Check Cell 2" xfId="144"/>
    <cellStyle name="Check Cell 2 2" xfId="1079"/>
    <cellStyle name="Check Cell 3" xfId="145"/>
    <cellStyle name="Check Cell 4" xfId="7966"/>
    <cellStyle name="Chybně" xfId="575"/>
    <cellStyle name="Chybně 2" xfId="1080"/>
    <cellStyle name="Chybně 3" xfId="1505"/>
    <cellStyle name="Indent" xfId="576"/>
    <cellStyle name="Indicateur" xfId="577"/>
    <cellStyle name="Indicateur2" xfId="578"/>
    <cellStyle name="indicateurs" xfId="579"/>
    <cellStyle name="Input [yellow]" xfId="580"/>
    <cellStyle name="Input [yellow] 2" xfId="1591"/>
    <cellStyle name="Input 10" xfId="14166"/>
    <cellStyle name="Input 11" xfId="14164"/>
    <cellStyle name="Input 2" xfId="146"/>
    <cellStyle name="Input 2 2" xfId="1081"/>
    <cellStyle name="Input 3" xfId="147"/>
    <cellStyle name="Input 4" xfId="7967"/>
    <cellStyle name="Input 5" xfId="7968"/>
    <cellStyle name="Input 6" xfId="8257"/>
    <cellStyle name="Input 7" xfId="8241"/>
    <cellStyle name="Input 8" xfId="14168"/>
    <cellStyle name="Input 9" xfId="8474"/>
    <cellStyle name="Insatisfaisant" xfId="581"/>
    <cellStyle name="interdit" xfId="582"/>
    <cellStyle name="Invisible" xfId="1657"/>
    <cellStyle name="Item_Current" xfId="583"/>
    <cellStyle name="Kontrolná bunka" xfId="584" builtinId="23" customBuiltin="1"/>
    <cellStyle name="Kontrolná bunka 2" xfId="1567"/>
    <cellStyle name="Kontrolná bunka 3" xfId="2568"/>
    <cellStyle name="Kontrolní buňka" xfId="585"/>
    <cellStyle name="Kontrolní buňka 2" xfId="1082"/>
    <cellStyle name="Kontrolní buňka 3" xfId="1547"/>
    <cellStyle name="Lien hypertexte visité_List1" xfId="1083"/>
    <cellStyle name="Lien hypertexte_List1" xfId="1084"/>
    <cellStyle name="Ligne détail" xfId="586"/>
    <cellStyle name="Linked Cell 2" xfId="148"/>
    <cellStyle name="Linked Cell 2 2" xfId="1085"/>
    <cellStyle name="Linked Cell 3" xfId="149"/>
    <cellStyle name="Linked Cell 4" xfId="7969"/>
    <cellStyle name="Mena 2" xfId="1390"/>
    <cellStyle name="Mena 2 2" xfId="1722"/>
    <cellStyle name="Mena 3" xfId="1787"/>
    <cellStyle name="Mena 4" xfId="1718"/>
    <cellStyle name="MEV1" xfId="587"/>
    <cellStyle name="MEV2" xfId="588"/>
    <cellStyle name="MEV3" xfId="589"/>
    <cellStyle name="Migliaia (0)_95-94 cit" xfId="590"/>
    <cellStyle name="Migliaia_autresactiviteitalie" xfId="591"/>
    <cellStyle name="Millares [0]_bimma2" xfId="592"/>
    <cellStyle name="Millares_bimma2" xfId="593"/>
    <cellStyle name="Milliers [0]_19'FR136_sem2003" xfId="1086"/>
    <cellStyle name="Milliers 2" xfId="594"/>
    <cellStyle name="Milliers_Analyse" xfId="595"/>
    <cellStyle name="Milliers3" xfId="596"/>
    <cellStyle name="Million Monétaire" xfId="597"/>
    <cellStyle name="Moeda [0]_Budget 2003" xfId="598"/>
    <cellStyle name="Moeda_Budget 2003" xfId="599"/>
    <cellStyle name="Moneda [0]_bimma2" xfId="600"/>
    <cellStyle name="Moneda_bimma2" xfId="601"/>
    <cellStyle name="Monétaire [0]_Analyse" xfId="602"/>
    <cellStyle name="Monétaire_Analyse" xfId="603"/>
    <cellStyle name="Monétaire0" xfId="604"/>
    <cellStyle name="Nadpis 1" xfId="605" builtinId="16" customBuiltin="1"/>
    <cellStyle name="Nadpis 1 2" xfId="1616"/>
    <cellStyle name="Nadpis 1 3" xfId="2569"/>
    <cellStyle name="Nadpis 2" xfId="606" builtinId="17" customBuiltin="1"/>
    <cellStyle name="Nadpis 2 2" xfId="1799"/>
    <cellStyle name="Nadpis 2 3" xfId="2570"/>
    <cellStyle name="Nadpis 3" xfId="607" builtinId="18" customBuiltin="1"/>
    <cellStyle name="Nadpis 3 2" xfId="1747"/>
    <cellStyle name="Nadpis 3 3" xfId="2571"/>
    <cellStyle name="Nadpis 4" xfId="608" builtinId="19" customBuiltin="1"/>
    <cellStyle name="Nadpis 4 2" xfId="1379"/>
    <cellStyle name="Nadpis 4 3" xfId="2572"/>
    <cellStyle name="Nature" xfId="609"/>
    <cellStyle name="Název" xfId="610"/>
    <cellStyle name="Název 2" xfId="1087"/>
    <cellStyle name="Název 3" xfId="1377"/>
    <cellStyle name="Neutral 2" xfId="150"/>
    <cellStyle name="Neutral 2 2" xfId="1088"/>
    <cellStyle name="Neutral 2 3" xfId="1583"/>
    <cellStyle name="Neutral 3" xfId="151"/>
    <cellStyle name="Neutral 4" xfId="7970"/>
    <cellStyle name="Neutrálna" xfId="611" builtinId="28" customBuiltin="1"/>
    <cellStyle name="Neutrálna 2" xfId="1753"/>
    <cellStyle name="Neutrálna 3" xfId="2573"/>
    <cellStyle name="Neutrální" xfId="612"/>
    <cellStyle name="Neutrální 2" xfId="1089"/>
    <cellStyle name="Neutrální 3" xfId="1615"/>
    <cellStyle name="Neutre" xfId="613"/>
    <cellStyle name="NewColumnHeaderNormal" xfId="1656"/>
    <cellStyle name="NewSectionHeaderNormal" xfId="1419"/>
    <cellStyle name="NewTitleNormal" xfId="1943"/>
    <cellStyle name="no dec" xfId="614"/>
    <cellStyle name="No-definido" xfId="615"/>
    <cellStyle name="Normal - Style1" xfId="1518"/>
    <cellStyle name="Normal 10" xfId="183"/>
    <cellStyle name="Normal 10 10" xfId="317"/>
    <cellStyle name="Normal 10 10 2" xfId="4051"/>
    <cellStyle name="Normal 10 10 2 2" xfId="7166"/>
    <cellStyle name="Normal 10 10 2 2 2" xfId="13408"/>
    <cellStyle name="Normal 10 10 2 2 3" xfId="19563"/>
    <cellStyle name="Normal 10 10 2 2 4" xfId="25690"/>
    <cellStyle name="Normal 10 10 2 3" xfId="10321"/>
    <cellStyle name="Normal 10 10 2 4" xfId="16486"/>
    <cellStyle name="Normal 10 10 2 5" xfId="22614"/>
    <cellStyle name="Normal 10 10 3" xfId="4050"/>
    <cellStyle name="Normal 10 10 3 2" xfId="7165"/>
    <cellStyle name="Normal 10 10 3 2 2" xfId="13407"/>
    <cellStyle name="Normal 10 10 3 2 3" xfId="19562"/>
    <cellStyle name="Normal 10 10 3 2 4" xfId="25689"/>
    <cellStyle name="Normal 10 10 3 3" xfId="10320"/>
    <cellStyle name="Normal 10 10 3 4" xfId="16485"/>
    <cellStyle name="Normal 10 10 3 5" xfId="22613"/>
    <cellStyle name="Normal 10 10 4" xfId="5067"/>
    <cellStyle name="Normal 10 10 4 2" xfId="11310"/>
    <cellStyle name="Normal 10 10 4 3" xfId="17465"/>
    <cellStyle name="Normal 10 10 4 4" xfId="23592"/>
    <cellStyle name="Normal 10 10 5" xfId="7971"/>
    <cellStyle name="Normal 10 10 6" xfId="8225"/>
    <cellStyle name="Normal 10 10 7" xfId="15115"/>
    <cellStyle name="Normal 10 10 8" xfId="21243"/>
    <cellStyle name="Normal 10 11" xfId="4052"/>
    <cellStyle name="Normal 10 12" xfId="4049"/>
    <cellStyle name="Normal 10 12 2" xfId="7164"/>
    <cellStyle name="Normal 10 12 2 2" xfId="13406"/>
    <cellStyle name="Normal 10 12 2 3" xfId="19561"/>
    <cellStyle name="Normal 10 12 2 4" xfId="25688"/>
    <cellStyle name="Normal 10 12 3" xfId="7972"/>
    <cellStyle name="Normal 10 12 4" xfId="10319"/>
    <cellStyle name="Normal 10 12 5" xfId="16484"/>
    <cellStyle name="Normal 10 12 6" xfId="22612"/>
    <cellStyle name="Normal 10 13" xfId="4964"/>
    <cellStyle name="Normal 10 13 2" xfId="11208"/>
    <cellStyle name="Normal 10 13 3" xfId="17363"/>
    <cellStyle name="Normal 10 13 4" xfId="23490"/>
    <cellStyle name="Normal 10 14" xfId="8122"/>
    <cellStyle name="Normal 10 15" xfId="14188"/>
    <cellStyle name="Normal 10 16" xfId="20413"/>
    <cellStyle name="Normal 10 2" xfId="1090"/>
    <cellStyle name="Normal 10 2 2" xfId="1908"/>
    <cellStyle name="Normal 10 2 2 2" xfId="4054"/>
    <cellStyle name="Normal 10 2 2 2 2" xfId="7168"/>
    <cellStyle name="Normal 10 2 2 2 2 2" xfId="13410"/>
    <cellStyle name="Normal 10 2 2 2 2 3" xfId="19565"/>
    <cellStyle name="Normal 10 2 2 2 2 4" xfId="25692"/>
    <cellStyle name="Normal 10 2 2 2 3" xfId="10323"/>
    <cellStyle name="Normal 10 2 2 2 4" xfId="16488"/>
    <cellStyle name="Normal 10 2 2 2 5" xfId="22616"/>
    <cellStyle name="Normal 10 2 2 3" xfId="4053"/>
    <cellStyle name="Normal 10 2 2 3 2" xfId="7167"/>
    <cellStyle name="Normal 10 2 2 3 2 2" xfId="13409"/>
    <cellStyle name="Normal 10 2 2 3 2 3" xfId="19564"/>
    <cellStyle name="Normal 10 2 2 3 2 4" xfId="25691"/>
    <cellStyle name="Normal 10 2 2 3 3" xfId="10322"/>
    <cellStyle name="Normal 10 2 2 3 4" xfId="16487"/>
    <cellStyle name="Normal 10 2 2 3 5" xfId="22615"/>
    <cellStyle name="Normal 10 2 2 4" xfId="5310"/>
    <cellStyle name="Normal 10 2 2 4 2" xfId="11552"/>
    <cellStyle name="Normal 10 2 2 4 3" xfId="17707"/>
    <cellStyle name="Normal 10 2 2 4 4" xfId="23834"/>
    <cellStyle name="Normal 10 2 2 5" xfId="8465"/>
    <cellStyle name="Normal 10 2 2 6" xfId="14761"/>
    <cellStyle name="Normal 10 2 2 7" xfId="20646"/>
    <cellStyle name="Normal 10 2 3" xfId="2031"/>
    <cellStyle name="Normal 10 2 4" xfId="2538"/>
    <cellStyle name="Normal 10 2 5" xfId="4055"/>
    <cellStyle name="Normal 10 2 6" xfId="4056"/>
    <cellStyle name="Normal 10 3" xfId="1346"/>
    <cellStyle name="Normal 10 3 2" xfId="1834"/>
    <cellStyle name="Normal 10 3 2 2" xfId="4058"/>
    <cellStyle name="Normal 10 3 2 2 2" xfId="7170"/>
    <cellStyle name="Normal 10 3 2 2 2 2" xfId="13412"/>
    <cellStyle name="Normal 10 3 2 2 2 3" xfId="19567"/>
    <cellStyle name="Normal 10 3 2 2 2 4" xfId="25694"/>
    <cellStyle name="Normal 10 3 2 2 3" xfId="10325"/>
    <cellStyle name="Normal 10 3 2 2 4" xfId="16490"/>
    <cellStyle name="Normal 10 3 2 2 5" xfId="22618"/>
    <cellStyle name="Normal 10 3 2 3" xfId="4057"/>
    <cellStyle name="Normal 10 3 2 3 2" xfId="7169"/>
    <cellStyle name="Normal 10 3 2 3 2 2" xfId="13411"/>
    <cellStyle name="Normal 10 3 2 3 2 3" xfId="19566"/>
    <cellStyle name="Normal 10 3 2 3 2 4" xfId="25693"/>
    <cellStyle name="Normal 10 3 2 3 3" xfId="10324"/>
    <cellStyle name="Normal 10 3 2 3 4" xfId="16489"/>
    <cellStyle name="Normal 10 3 2 3 5" xfId="22617"/>
    <cellStyle name="Normal 10 3 2 4" xfId="5294"/>
    <cellStyle name="Normal 10 3 2 4 2" xfId="11536"/>
    <cellStyle name="Normal 10 3 2 4 3" xfId="17691"/>
    <cellStyle name="Normal 10 3 2 4 4" xfId="23818"/>
    <cellStyle name="Normal 10 3 2 5" xfId="8450"/>
    <cellStyle name="Normal 10 3 2 6" xfId="14762"/>
    <cellStyle name="Normal 10 3 2 7" xfId="20631"/>
    <cellStyle name="Normal 10 4" xfId="1700"/>
    <cellStyle name="Normal 10 4 2" xfId="4060"/>
    <cellStyle name="Normal 10 4 2 2" xfId="7172"/>
    <cellStyle name="Normal 10 4 2 2 2" xfId="13414"/>
    <cellStyle name="Normal 10 4 2 2 3" xfId="19569"/>
    <cellStyle name="Normal 10 4 2 2 4" xfId="25696"/>
    <cellStyle name="Normal 10 4 2 3" xfId="10327"/>
    <cellStyle name="Normal 10 4 2 4" xfId="16492"/>
    <cellStyle name="Normal 10 4 2 5" xfId="22620"/>
    <cellStyle name="Normal 10 4 3" xfId="4059"/>
    <cellStyle name="Normal 10 4 3 2" xfId="7171"/>
    <cellStyle name="Normal 10 4 3 2 2" xfId="13413"/>
    <cellStyle name="Normal 10 4 3 2 3" xfId="19568"/>
    <cellStyle name="Normal 10 4 3 2 4" xfId="25695"/>
    <cellStyle name="Normal 10 4 3 3" xfId="10326"/>
    <cellStyle name="Normal 10 4 3 4" xfId="16491"/>
    <cellStyle name="Normal 10 4 3 5" xfId="22619"/>
    <cellStyle name="Normal 10 4 4" xfId="5273"/>
    <cellStyle name="Normal 10 4 4 2" xfId="11515"/>
    <cellStyle name="Normal 10 4 4 3" xfId="17670"/>
    <cellStyle name="Normal 10 4 4 4" xfId="23797"/>
    <cellStyle name="Normal 10 4 5" xfId="8429"/>
    <cellStyle name="Normal 10 4 6" xfId="14763"/>
    <cellStyle name="Normal 10 4 7" xfId="20610"/>
    <cellStyle name="Normal 10 5" xfId="1527"/>
    <cellStyle name="Normal 10 5 2" xfId="4062"/>
    <cellStyle name="Normal 10 5 2 2" xfId="7174"/>
    <cellStyle name="Normal 10 5 2 2 2" xfId="13416"/>
    <cellStyle name="Normal 10 5 2 2 3" xfId="19571"/>
    <cellStyle name="Normal 10 5 2 2 4" xfId="25698"/>
    <cellStyle name="Normal 10 5 2 3" xfId="10329"/>
    <cellStyle name="Normal 10 5 2 4" xfId="16494"/>
    <cellStyle name="Normal 10 5 2 5" xfId="22622"/>
    <cellStyle name="Normal 10 5 3" xfId="4061"/>
    <cellStyle name="Normal 10 5 3 2" xfId="7173"/>
    <cellStyle name="Normal 10 5 3 2 2" xfId="13415"/>
    <cellStyle name="Normal 10 5 3 2 3" xfId="19570"/>
    <cellStyle name="Normal 10 5 3 2 4" xfId="25697"/>
    <cellStyle name="Normal 10 5 3 3" xfId="10328"/>
    <cellStyle name="Normal 10 5 3 4" xfId="16493"/>
    <cellStyle name="Normal 10 5 3 5" xfId="22621"/>
    <cellStyle name="Normal 10 5 4" xfId="5250"/>
    <cellStyle name="Normal 10 5 4 2" xfId="11492"/>
    <cellStyle name="Normal 10 5 4 3" xfId="17647"/>
    <cellStyle name="Normal 10 5 4 4" xfId="23774"/>
    <cellStyle name="Normal 10 5 5" xfId="8406"/>
    <cellStyle name="Normal 10 5 6" xfId="14764"/>
    <cellStyle name="Normal 10 5 7" xfId="20588"/>
    <cellStyle name="Normal 10 6" xfId="1474"/>
    <cellStyle name="Normal 10 7" xfId="1659"/>
    <cellStyle name="Normal 10 7 2" xfId="4064"/>
    <cellStyle name="Normal 10 7 2 2" xfId="7176"/>
    <cellStyle name="Normal 10 7 2 2 2" xfId="13418"/>
    <cellStyle name="Normal 10 7 2 2 3" xfId="19573"/>
    <cellStyle name="Normal 10 7 2 2 4" xfId="25700"/>
    <cellStyle name="Normal 10 7 2 3" xfId="10331"/>
    <cellStyle name="Normal 10 7 2 4" xfId="16496"/>
    <cellStyle name="Normal 10 7 2 5" xfId="22624"/>
    <cellStyle name="Normal 10 7 3" xfId="4063"/>
    <cellStyle name="Normal 10 7 3 2" xfId="7175"/>
    <cellStyle name="Normal 10 7 3 2 2" xfId="13417"/>
    <cellStyle name="Normal 10 7 3 2 3" xfId="19572"/>
    <cellStyle name="Normal 10 7 3 2 4" xfId="25699"/>
    <cellStyle name="Normal 10 7 3 3" xfId="10330"/>
    <cellStyle name="Normal 10 7 3 4" xfId="16495"/>
    <cellStyle name="Normal 10 7 3 5" xfId="22623"/>
    <cellStyle name="Normal 10 7 4" xfId="5266"/>
    <cellStyle name="Normal 10 7 4 2" xfId="11508"/>
    <cellStyle name="Normal 10 7 4 3" xfId="17663"/>
    <cellStyle name="Normal 10 7 4 4" xfId="23790"/>
    <cellStyle name="Normal 10 7 5" xfId="8422"/>
    <cellStyle name="Normal 10 7 6" xfId="14765"/>
    <cellStyle name="Normal 10 7 7" xfId="20603"/>
    <cellStyle name="Normal 10 8" xfId="1978"/>
    <cellStyle name="Normal 10 9" xfId="381"/>
    <cellStyle name="Normal 100" xfId="2474"/>
    <cellStyle name="Normal 101" xfId="2466"/>
    <cellStyle name="Normal 102" xfId="2457"/>
    <cellStyle name="Normal 103" xfId="1969"/>
    <cellStyle name="Normal 104" xfId="2479"/>
    <cellStyle name="Normal 105" xfId="2053"/>
    <cellStyle name="Normal 106" xfId="2481"/>
    <cellStyle name="Normal 107" xfId="2482"/>
    <cellStyle name="Normal 108" xfId="2483"/>
    <cellStyle name="Normal 109" xfId="2484"/>
    <cellStyle name="Normal 11" xfId="318"/>
    <cellStyle name="Normal 11 10" xfId="8226"/>
    <cellStyle name="Normal 11 11" xfId="14766"/>
    <cellStyle name="Normal 11 12" xfId="20414"/>
    <cellStyle name="Normal 11 2" xfId="1091"/>
    <cellStyle name="Normal 11 2 2" xfId="1780"/>
    <cellStyle name="Normal 11 2 3" xfId="2358"/>
    <cellStyle name="Normal 11 2 3 2" xfId="4067"/>
    <cellStyle name="Normal 11 2 3 2 2" xfId="7179"/>
    <cellStyle name="Normal 11 2 3 2 2 2" xfId="13421"/>
    <cellStyle name="Normal 11 2 3 2 2 3" xfId="19576"/>
    <cellStyle name="Normal 11 2 3 2 2 4" xfId="25703"/>
    <cellStyle name="Normal 11 2 3 2 3" xfId="10334"/>
    <cellStyle name="Normal 11 2 3 2 4" xfId="16499"/>
    <cellStyle name="Normal 11 2 3 2 5" xfId="22627"/>
    <cellStyle name="Normal 11 2 3 3" xfId="4066"/>
    <cellStyle name="Normal 11 2 3 3 2" xfId="7178"/>
    <cellStyle name="Normal 11 2 3 3 2 2" xfId="13420"/>
    <cellStyle name="Normal 11 2 3 3 2 3" xfId="19575"/>
    <cellStyle name="Normal 11 2 3 3 2 4" xfId="25702"/>
    <cellStyle name="Normal 11 2 3 3 3" xfId="10333"/>
    <cellStyle name="Normal 11 2 3 3 4" xfId="16498"/>
    <cellStyle name="Normal 11 2 3 3 5" xfId="22626"/>
    <cellStyle name="Normal 11 2 3 4" xfId="5671"/>
    <cellStyle name="Normal 11 2 3 4 2" xfId="11913"/>
    <cellStyle name="Normal 11 2 3 4 3" xfId="18068"/>
    <cellStyle name="Normal 11 2 3 4 4" xfId="24195"/>
    <cellStyle name="Normal 11 2 3 5" xfId="8825"/>
    <cellStyle name="Normal 11 2 3 6" xfId="14767"/>
    <cellStyle name="Normal 11 2 3 7" xfId="21005"/>
    <cellStyle name="Normal 11 2 4" xfId="2539"/>
    <cellStyle name="Normal 11 2 5" xfId="4068"/>
    <cellStyle name="Normal 11 2 6" xfId="4069"/>
    <cellStyle name="Normal 11 2 6 2" xfId="7180"/>
    <cellStyle name="Normal 11 2 6 2 2" xfId="13422"/>
    <cellStyle name="Normal 11 2 6 2 3" xfId="19577"/>
    <cellStyle name="Normal 11 2 6 2 4" xfId="25704"/>
    <cellStyle name="Normal 11 2 6 3" xfId="10335"/>
    <cellStyle name="Normal 11 2 6 4" xfId="16500"/>
    <cellStyle name="Normal 11 2 6 5" xfId="22628"/>
    <cellStyle name="Normal 11 3" xfId="1439"/>
    <cellStyle name="Normal 11 3 2" xfId="2185"/>
    <cellStyle name="Normal 11 3 2 2" xfId="4071"/>
    <cellStyle name="Normal 11 3 2 2 2" xfId="7182"/>
    <cellStyle name="Normal 11 3 2 2 2 2" xfId="13424"/>
    <cellStyle name="Normal 11 3 2 2 2 3" xfId="19579"/>
    <cellStyle name="Normal 11 3 2 2 2 4" xfId="25706"/>
    <cellStyle name="Normal 11 3 2 2 3" xfId="10337"/>
    <cellStyle name="Normal 11 3 2 2 4" xfId="16502"/>
    <cellStyle name="Normal 11 3 2 2 5" xfId="22630"/>
    <cellStyle name="Normal 11 3 2 3" xfId="4070"/>
    <cellStyle name="Normal 11 3 2 3 2" xfId="7181"/>
    <cellStyle name="Normal 11 3 2 3 2 2" xfId="13423"/>
    <cellStyle name="Normal 11 3 2 3 2 3" xfId="19578"/>
    <cellStyle name="Normal 11 3 2 3 2 4" xfId="25705"/>
    <cellStyle name="Normal 11 3 2 3 3" xfId="10336"/>
    <cellStyle name="Normal 11 3 2 3 4" xfId="16501"/>
    <cellStyle name="Normal 11 3 2 3 5" xfId="22629"/>
    <cellStyle name="Normal 11 3 2 4" xfId="5498"/>
    <cellStyle name="Normal 11 3 2 4 2" xfId="11740"/>
    <cellStyle name="Normal 11 3 2 4 3" xfId="17895"/>
    <cellStyle name="Normal 11 3 2 4 4" xfId="24022"/>
    <cellStyle name="Normal 11 3 2 5" xfId="8652"/>
    <cellStyle name="Normal 11 3 2 6" xfId="14768"/>
    <cellStyle name="Normal 11 3 2 7" xfId="20832"/>
    <cellStyle name="Normal 11 4" xfId="1961"/>
    <cellStyle name="Normal 11 4 2" xfId="4073"/>
    <cellStyle name="Normal 11 4 2 2" xfId="7184"/>
    <cellStyle name="Normal 11 4 2 2 2" xfId="13426"/>
    <cellStyle name="Normal 11 4 2 2 3" xfId="19581"/>
    <cellStyle name="Normal 11 4 2 2 4" xfId="25708"/>
    <cellStyle name="Normal 11 4 2 3" xfId="10339"/>
    <cellStyle name="Normal 11 4 2 4" xfId="16504"/>
    <cellStyle name="Normal 11 4 2 5" xfId="22632"/>
    <cellStyle name="Normal 11 4 3" xfId="4072"/>
    <cellStyle name="Normal 11 4 3 2" xfId="7183"/>
    <cellStyle name="Normal 11 4 3 2 2" xfId="13425"/>
    <cellStyle name="Normal 11 4 3 2 3" xfId="19580"/>
    <cellStyle name="Normal 11 4 3 2 4" xfId="25707"/>
    <cellStyle name="Normal 11 4 3 3" xfId="10338"/>
    <cellStyle name="Normal 11 4 3 4" xfId="16503"/>
    <cellStyle name="Normal 11 4 3 5" xfId="22631"/>
    <cellStyle name="Normal 11 4 4" xfId="5319"/>
    <cellStyle name="Normal 11 4 4 2" xfId="11561"/>
    <cellStyle name="Normal 11 4 4 3" xfId="17716"/>
    <cellStyle name="Normal 11 4 4 4" xfId="23843"/>
    <cellStyle name="Normal 11 4 5" xfId="8473"/>
    <cellStyle name="Normal 11 4 6" xfId="14769"/>
    <cellStyle name="Normal 11 4 7" xfId="20654"/>
    <cellStyle name="Normal 11 5" xfId="382"/>
    <cellStyle name="Normal 11 6" xfId="4074"/>
    <cellStyle name="Normal 11 6 2" xfId="7185"/>
    <cellStyle name="Normal 11 6 2 2" xfId="13427"/>
    <cellStyle name="Normal 11 6 2 3" xfId="19582"/>
    <cellStyle name="Normal 11 6 2 4" xfId="25709"/>
    <cellStyle name="Normal 11 6 3" xfId="10340"/>
    <cellStyle name="Normal 11 6 4" xfId="16505"/>
    <cellStyle name="Normal 11 6 5" xfId="22633"/>
    <cellStyle name="Normal 11 7" xfId="4075"/>
    <cellStyle name="Normal 11 7 2" xfId="7186"/>
    <cellStyle name="Normal 11 7 2 2" xfId="13428"/>
    <cellStyle name="Normal 11 7 2 3" xfId="19583"/>
    <cellStyle name="Normal 11 7 2 4" xfId="25710"/>
    <cellStyle name="Normal 11 7 3" xfId="10341"/>
    <cellStyle name="Normal 11 7 4" xfId="16506"/>
    <cellStyle name="Normal 11 7 5" xfId="22634"/>
    <cellStyle name="Normal 11 8" xfId="4065"/>
    <cellStyle name="Normal 11 8 2" xfId="7177"/>
    <cellStyle name="Normal 11 8 2 2" xfId="13419"/>
    <cellStyle name="Normal 11 8 2 3" xfId="19574"/>
    <cellStyle name="Normal 11 8 2 4" xfId="25701"/>
    <cellStyle name="Normal 11 8 3" xfId="10332"/>
    <cellStyle name="Normal 11 8 4" xfId="16497"/>
    <cellStyle name="Normal 11 8 5" xfId="22625"/>
    <cellStyle name="Normal 11 9" xfId="5068"/>
    <cellStyle name="Normal 11 9 2" xfId="11311"/>
    <cellStyle name="Normal 11 9 3" xfId="17466"/>
    <cellStyle name="Normal 11 9 4" xfId="23593"/>
    <cellStyle name="Normal 110" xfId="2485"/>
    <cellStyle name="Normal 111" xfId="2486"/>
    <cellStyle name="Normal 112" xfId="2487"/>
    <cellStyle name="Normal 113" xfId="2488"/>
    <cellStyle name="Normal 114" xfId="2489"/>
    <cellStyle name="Normal 115" xfId="2490"/>
    <cellStyle name="Normal 116" xfId="2491"/>
    <cellStyle name="Normal 117" xfId="2492"/>
    <cellStyle name="Normal 118" xfId="2493"/>
    <cellStyle name="Normal 119" xfId="2494"/>
    <cellStyle name="Normal 12" xfId="383"/>
    <cellStyle name="Normal 12 2" xfId="1092"/>
    <cellStyle name="Normal 12 2 2" xfId="1458"/>
    <cellStyle name="Normal 12 2 3" xfId="2436"/>
    <cellStyle name="Normal 12 2 3 2" xfId="4077"/>
    <cellStyle name="Normal 12 2 3 2 2" xfId="7188"/>
    <cellStyle name="Normal 12 2 3 2 2 2" xfId="13430"/>
    <cellStyle name="Normal 12 2 3 2 2 3" xfId="19585"/>
    <cellStyle name="Normal 12 2 3 2 2 4" xfId="25712"/>
    <cellStyle name="Normal 12 2 3 2 3" xfId="10343"/>
    <cellStyle name="Normal 12 2 3 2 4" xfId="16508"/>
    <cellStyle name="Normal 12 2 3 2 5" xfId="22636"/>
    <cellStyle name="Normal 12 2 3 3" xfId="4076"/>
    <cellStyle name="Normal 12 2 3 3 2" xfId="7187"/>
    <cellStyle name="Normal 12 2 3 3 2 2" xfId="13429"/>
    <cellStyle name="Normal 12 2 3 3 2 3" xfId="19584"/>
    <cellStyle name="Normal 12 2 3 3 2 4" xfId="25711"/>
    <cellStyle name="Normal 12 2 3 3 3" xfId="10342"/>
    <cellStyle name="Normal 12 2 3 3 4" xfId="16507"/>
    <cellStyle name="Normal 12 2 3 3 5" xfId="22635"/>
    <cellStyle name="Normal 12 2 3 4" xfId="5749"/>
    <cellStyle name="Normal 12 2 3 4 2" xfId="11991"/>
    <cellStyle name="Normal 12 2 3 4 3" xfId="18146"/>
    <cellStyle name="Normal 12 2 3 4 4" xfId="24273"/>
    <cellStyle name="Normal 12 2 3 5" xfId="8903"/>
    <cellStyle name="Normal 12 2 3 6" xfId="14770"/>
    <cellStyle name="Normal 12 2 3 7" xfId="21083"/>
    <cellStyle name="Normal 12 3" xfId="1421"/>
    <cellStyle name="Normal 12 3 2" xfId="2263"/>
    <cellStyle name="Normal 12 3 2 2" xfId="4079"/>
    <cellStyle name="Normal 12 3 2 2 2" xfId="7190"/>
    <cellStyle name="Normal 12 3 2 2 2 2" xfId="13432"/>
    <cellStyle name="Normal 12 3 2 2 2 3" xfId="19587"/>
    <cellStyle name="Normal 12 3 2 2 2 4" xfId="25714"/>
    <cellStyle name="Normal 12 3 2 2 3" xfId="10345"/>
    <cellStyle name="Normal 12 3 2 2 4" xfId="16510"/>
    <cellStyle name="Normal 12 3 2 2 5" xfId="22638"/>
    <cellStyle name="Normal 12 3 2 3" xfId="4078"/>
    <cellStyle name="Normal 12 3 2 3 2" xfId="7189"/>
    <cellStyle name="Normal 12 3 2 3 2 2" xfId="13431"/>
    <cellStyle name="Normal 12 3 2 3 2 3" xfId="19586"/>
    <cellStyle name="Normal 12 3 2 3 2 4" xfId="25713"/>
    <cellStyle name="Normal 12 3 2 3 3" xfId="10344"/>
    <cellStyle name="Normal 12 3 2 3 4" xfId="16509"/>
    <cellStyle name="Normal 12 3 2 3 5" xfId="22637"/>
    <cellStyle name="Normal 12 3 2 4" xfId="5576"/>
    <cellStyle name="Normal 12 3 2 4 2" xfId="11818"/>
    <cellStyle name="Normal 12 3 2 4 3" xfId="17973"/>
    <cellStyle name="Normal 12 3 2 4 4" xfId="24100"/>
    <cellStyle name="Normal 12 3 2 5" xfId="8730"/>
    <cellStyle name="Normal 12 3 2 6" xfId="14771"/>
    <cellStyle name="Normal 12 3 2 7" xfId="20910"/>
    <cellStyle name="Normal 12 4" xfId="2050"/>
    <cellStyle name="Normal 12 4 2" xfId="4081"/>
    <cellStyle name="Normal 12 4 2 2" xfId="7192"/>
    <cellStyle name="Normal 12 4 2 2 2" xfId="13434"/>
    <cellStyle name="Normal 12 4 2 2 3" xfId="19589"/>
    <cellStyle name="Normal 12 4 2 2 4" xfId="25716"/>
    <cellStyle name="Normal 12 4 2 3" xfId="10347"/>
    <cellStyle name="Normal 12 4 2 4" xfId="16512"/>
    <cellStyle name="Normal 12 4 2 5" xfId="22640"/>
    <cellStyle name="Normal 12 4 3" xfId="4080"/>
    <cellStyle name="Normal 12 4 3 2" xfId="7191"/>
    <cellStyle name="Normal 12 4 3 2 2" xfId="13433"/>
    <cellStyle name="Normal 12 4 3 2 3" xfId="19588"/>
    <cellStyle name="Normal 12 4 3 2 4" xfId="25715"/>
    <cellStyle name="Normal 12 4 3 3" xfId="10346"/>
    <cellStyle name="Normal 12 4 3 4" xfId="16511"/>
    <cellStyle name="Normal 12 4 3 5" xfId="22639"/>
    <cellStyle name="Normal 12 4 4" xfId="5390"/>
    <cellStyle name="Normal 12 4 4 2" xfId="11632"/>
    <cellStyle name="Normal 12 4 4 3" xfId="17787"/>
    <cellStyle name="Normal 12 4 4 4" xfId="23914"/>
    <cellStyle name="Normal 12 4 5" xfId="8545"/>
    <cellStyle name="Normal 12 4 6" xfId="14772"/>
    <cellStyle name="Normal 12 4 7" xfId="20725"/>
    <cellStyle name="Normal 12 5" xfId="4082"/>
    <cellStyle name="Normal 12 6" xfId="4083"/>
    <cellStyle name="Normal 120" xfId="2495"/>
    <cellStyle name="Normal 121" xfId="2496"/>
    <cellStyle name="Normal 122" xfId="2497"/>
    <cellStyle name="Normal 123" xfId="2498"/>
    <cellStyle name="Normal 124" xfId="2499"/>
    <cellStyle name="Normal 125" xfId="2500"/>
    <cellStyle name="Normal 126" xfId="2501"/>
    <cellStyle name="Normal 127" xfId="2502"/>
    <cellStyle name="Normal 128" xfId="2503"/>
    <cellStyle name="Normal 129" xfId="2504"/>
    <cellStyle name="Normal 13" xfId="384"/>
    <cellStyle name="Normal 13 2" xfId="1093"/>
    <cellStyle name="Normal 13 2 2" xfId="1767"/>
    <cellStyle name="Normal 13 2 3" xfId="2444"/>
    <cellStyle name="Normal 13 2 3 2" xfId="4085"/>
    <cellStyle name="Normal 13 2 3 2 2" xfId="7194"/>
    <cellStyle name="Normal 13 2 3 2 2 2" xfId="13436"/>
    <cellStyle name="Normal 13 2 3 2 2 3" xfId="19591"/>
    <cellStyle name="Normal 13 2 3 2 2 4" xfId="25718"/>
    <cellStyle name="Normal 13 2 3 2 3" xfId="10349"/>
    <cellStyle name="Normal 13 2 3 2 4" xfId="16514"/>
    <cellStyle name="Normal 13 2 3 2 5" xfId="22642"/>
    <cellStyle name="Normal 13 2 3 3" xfId="4084"/>
    <cellStyle name="Normal 13 2 3 3 2" xfId="7193"/>
    <cellStyle name="Normal 13 2 3 3 2 2" xfId="13435"/>
    <cellStyle name="Normal 13 2 3 3 2 3" xfId="19590"/>
    <cellStyle name="Normal 13 2 3 3 2 4" xfId="25717"/>
    <cellStyle name="Normal 13 2 3 3 3" xfId="10348"/>
    <cellStyle name="Normal 13 2 3 3 4" xfId="16513"/>
    <cellStyle name="Normal 13 2 3 3 5" xfId="22641"/>
    <cellStyle name="Normal 13 2 3 4" xfId="5757"/>
    <cellStyle name="Normal 13 2 3 4 2" xfId="11999"/>
    <cellStyle name="Normal 13 2 3 4 3" xfId="18154"/>
    <cellStyle name="Normal 13 2 3 4 4" xfId="24281"/>
    <cellStyle name="Normal 13 2 3 5" xfId="8911"/>
    <cellStyle name="Normal 13 2 3 6" xfId="14773"/>
    <cellStyle name="Normal 13 2 3 7" xfId="21091"/>
    <cellStyle name="Normal 13 3" xfId="1235"/>
    <cellStyle name="Normal 13 3 2" xfId="2272"/>
    <cellStyle name="Normal 13 3 2 2" xfId="4087"/>
    <cellStyle name="Normal 13 3 2 2 2" xfId="7196"/>
    <cellStyle name="Normal 13 3 2 2 2 2" xfId="13438"/>
    <cellStyle name="Normal 13 3 2 2 2 3" xfId="19593"/>
    <cellStyle name="Normal 13 3 2 2 2 4" xfId="25720"/>
    <cellStyle name="Normal 13 3 2 2 3" xfId="10351"/>
    <cellStyle name="Normal 13 3 2 2 4" xfId="16516"/>
    <cellStyle name="Normal 13 3 2 2 5" xfId="22644"/>
    <cellStyle name="Normal 13 3 2 3" xfId="4086"/>
    <cellStyle name="Normal 13 3 2 3 2" xfId="7195"/>
    <cellStyle name="Normal 13 3 2 3 2 2" xfId="13437"/>
    <cellStyle name="Normal 13 3 2 3 2 3" xfId="19592"/>
    <cellStyle name="Normal 13 3 2 3 2 4" xfId="25719"/>
    <cellStyle name="Normal 13 3 2 3 3" xfId="10350"/>
    <cellStyle name="Normal 13 3 2 3 4" xfId="16515"/>
    <cellStyle name="Normal 13 3 2 3 5" xfId="22643"/>
    <cellStyle name="Normal 13 3 2 4" xfId="5585"/>
    <cellStyle name="Normal 13 3 2 4 2" xfId="11827"/>
    <cellStyle name="Normal 13 3 2 4 3" xfId="17982"/>
    <cellStyle name="Normal 13 3 2 4 4" xfId="24109"/>
    <cellStyle name="Normal 13 3 2 5" xfId="8739"/>
    <cellStyle name="Normal 13 3 2 6" xfId="14774"/>
    <cellStyle name="Normal 13 3 2 7" xfId="20919"/>
    <cellStyle name="Normal 13 4" xfId="853"/>
    <cellStyle name="Normal 13 5" xfId="1349"/>
    <cellStyle name="Normal 13 6" xfId="1663"/>
    <cellStyle name="Normal 13 7" xfId="2059"/>
    <cellStyle name="Normal 13 7 2" xfId="4089"/>
    <cellStyle name="Normal 13 7 2 2" xfId="7198"/>
    <cellStyle name="Normal 13 7 2 2 2" xfId="13440"/>
    <cellStyle name="Normal 13 7 2 2 3" xfId="19595"/>
    <cellStyle name="Normal 13 7 2 2 4" xfId="25722"/>
    <cellStyle name="Normal 13 7 2 3" xfId="10353"/>
    <cellStyle name="Normal 13 7 2 4" xfId="16518"/>
    <cellStyle name="Normal 13 7 2 5" xfId="22646"/>
    <cellStyle name="Normal 13 7 3" xfId="4088"/>
    <cellStyle name="Normal 13 7 3 2" xfId="7197"/>
    <cellStyle name="Normal 13 7 3 2 2" xfId="13439"/>
    <cellStyle name="Normal 13 7 3 2 3" xfId="19594"/>
    <cellStyle name="Normal 13 7 3 2 4" xfId="25721"/>
    <cellStyle name="Normal 13 7 3 3" xfId="10352"/>
    <cellStyle name="Normal 13 7 3 4" xfId="16517"/>
    <cellStyle name="Normal 13 7 3 5" xfId="22645"/>
    <cellStyle name="Normal 13 7 4" xfId="5397"/>
    <cellStyle name="Normal 13 7 4 2" xfId="11639"/>
    <cellStyle name="Normal 13 7 4 3" xfId="17794"/>
    <cellStyle name="Normal 13 7 4 4" xfId="23921"/>
    <cellStyle name="Normal 13 7 5" xfId="8552"/>
    <cellStyle name="Normal 13 7 6" xfId="14775"/>
    <cellStyle name="Normal 13 7 7" xfId="20732"/>
    <cellStyle name="Normal 130" xfId="2505"/>
    <cellStyle name="Normal 131" xfId="2506"/>
    <cellStyle name="Normal 132" xfId="2507"/>
    <cellStyle name="Normal 133" xfId="2508"/>
    <cellStyle name="Normal 134" xfId="2509"/>
    <cellStyle name="Normal 135" xfId="2510"/>
    <cellStyle name="Normal 136" xfId="2511"/>
    <cellStyle name="Normal 137" xfId="2512"/>
    <cellStyle name="Normal 138" xfId="2513"/>
    <cellStyle name="Normal 139" xfId="2524"/>
    <cellStyle name="Normal 14" xfId="385"/>
    <cellStyle name="Normal 14 2" xfId="1094"/>
    <cellStyle name="Normal 14 2 2" xfId="1805"/>
    <cellStyle name="Normal 14 3" xfId="1402"/>
    <cellStyle name="Normal 14 4" xfId="2069"/>
    <cellStyle name="Normal 140" xfId="2520"/>
    <cellStyle name="Normal 141" xfId="2518"/>
    <cellStyle name="Normal 142" xfId="2516"/>
    <cellStyle name="Normal 143" xfId="2636"/>
    <cellStyle name="Normal 144" xfId="333"/>
    <cellStyle name="Normal 144 2" xfId="4091"/>
    <cellStyle name="Normal 144 2 2" xfId="7200"/>
    <cellStyle name="Normal 144 2 2 2" xfId="13442"/>
    <cellStyle name="Normal 144 2 2 3" xfId="19597"/>
    <cellStyle name="Normal 144 2 2 4" xfId="25724"/>
    <cellStyle name="Normal 144 2 3" xfId="10355"/>
    <cellStyle name="Normal 144 2 4" xfId="16520"/>
    <cellStyle name="Normal 144 2 5" xfId="22648"/>
    <cellStyle name="Normal 144 3" xfId="4090"/>
    <cellStyle name="Normal 144 3 2" xfId="7199"/>
    <cellStyle name="Normal 144 3 2 2" xfId="13441"/>
    <cellStyle name="Normal 144 3 2 3" xfId="19596"/>
    <cellStyle name="Normal 144 3 2 4" xfId="25723"/>
    <cellStyle name="Normal 144 3 3" xfId="10354"/>
    <cellStyle name="Normal 144 3 4" xfId="16519"/>
    <cellStyle name="Normal 144 3 5" xfId="22647"/>
    <cellStyle name="Normal 144 4" xfId="5073"/>
    <cellStyle name="Normal 144 4 2" xfId="11316"/>
    <cellStyle name="Normal 144 4 3" xfId="17471"/>
    <cellStyle name="Normal 144 4 4" xfId="23598"/>
    <cellStyle name="Normal 144 5" xfId="8230"/>
    <cellStyle name="Normal 144 6" xfId="14776"/>
    <cellStyle name="Normal 144 7" xfId="20418"/>
    <cellStyle name="Normal 145" xfId="2647"/>
    <cellStyle name="Normal 145 2" xfId="4093"/>
    <cellStyle name="Normal 145 2 2" xfId="7202"/>
    <cellStyle name="Normal 145 2 2 2" xfId="13444"/>
    <cellStyle name="Normal 145 2 2 3" xfId="19599"/>
    <cellStyle name="Normal 145 2 2 4" xfId="25726"/>
    <cellStyle name="Normal 145 2 3" xfId="10357"/>
    <cellStyle name="Normal 145 2 4" xfId="16522"/>
    <cellStyle name="Normal 145 2 5" xfId="22650"/>
    <cellStyle name="Normal 145 3" xfId="4092"/>
    <cellStyle name="Normal 145 3 2" xfId="7201"/>
    <cellStyle name="Normal 145 3 2 2" xfId="13443"/>
    <cellStyle name="Normal 145 3 2 3" xfId="19598"/>
    <cellStyle name="Normal 145 3 2 4" xfId="25725"/>
    <cellStyle name="Normal 145 3 3" xfId="10356"/>
    <cellStyle name="Normal 145 3 4" xfId="16521"/>
    <cellStyle name="Normal 145 3 5" xfId="22649"/>
    <cellStyle name="Normal 145 4" xfId="5790"/>
    <cellStyle name="Normal 145 4 2" xfId="12032"/>
    <cellStyle name="Normal 145 4 3" xfId="18187"/>
    <cellStyle name="Normal 145 4 4" xfId="24314"/>
    <cellStyle name="Normal 145 5" xfId="8944"/>
    <cellStyle name="Normal 145 6" xfId="14777"/>
    <cellStyle name="Normal 145 7" xfId="21124"/>
    <cellStyle name="Normal 146" xfId="2651"/>
    <cellStyle name="Normal 146 2" xfId="4095"/>
    <cellStyle name="Normal 146 2 2" xfId="7204"/>
    <cellStyle name="Normal 146 2 2 2" xfId="13446"/>
    <cellStyle name="Normal 146 2 2 3" xfId="19601"/>
    <cellStyle name="Normal 146 2 2 4" xfId="25728"/>
    <cellStyle name="Normal 146 2 3" xfId="10359"/>
    <cellStyle name="Normal 146 2 4" xfId="16524"/>
    <cellStyle name="Normal 146 2 5" xfId="22652"/>
    <cellStyle name="Normal 146 3" xfId="4094"/>
    <cellStyle name="Normal 146 3 2" xfId="7203"/>
    <cellStyle name="Normal 146 3 2 2" xfId="13445"/>
    <cellStyle name="Normal 146 3 2 3" xfId="19600"/>
    <cellStyle name="Normal 146 3 2 4" xfId="25727"/>
    <cellStyle name="Normal 146 3 3" xfId="10358"/>
    <cellStyle name="Normal 146 3 4" xfId="16523"/>
    <cellStyle name="Normal 146 3 5" xfId="22651"/>
    <cellStyle name="Normal 146 4" xfId="5794"/>
    <cellStyle name="Normal 146 4 2" xfId="12036"/>
    <cellStyle name="Normal 146 4 3" xfId="18191"/>
    <cellStyle name="Normal 146 4 4" xfId="24318"/>
    <cellStyle name="Normal 146 5" xfId="8948"/>
    <cellStyle name="Normal 146 6" xfId="14778"/>
    <cellStyle name="Normal 146 7" xfId="21125"/>
    <cellStyle name="Normal 147" xfId="2654"/>
    <cellStyle name="Normal 147 2" xfId="4097"/>
    <cellStyle name="Normal 147 2 2" xfId="7206"/>
    <cellStyle name="Normal 147 2 2 2" xfId="13448"/>
    <cellStyle name="Normal 147 2 2 3" xfId="19603"/>
    <cellStyle name="Normal 147 2 2 4" xfId="25730"/>
    <cellStyle name="Normal 147 2 3" xfId="10361"/>
    <cellStyle name="Normal 147 2 4" xfId="16526"/>
    <cellStyle name="Normal 147 2 5" xfId="22654"/>
    <cellStyle name="Normal 147 3" xfId="4096"/>
    <cellStyle name="Normal 147 3 2" xfId="7205"/>
    <cellStyle name="Normal 147 3 2 2" xfId="13447"/>
    <cellStyle name="Normal 147 3 2 3" xfId="19602"/>
    <cellStyle name="Normal 147 3 2 4" xfId="25729"/>
    <cellStyle name="Normal 147 3 3" xfId="10360"/>
    <cellStyle name="Normal 147 3 4" xfId="16525"/>
    <cellStyle name="Normal 147 3 5" xfId="22653"/>
    <cellStyle name="Normal 147 4" xfId="5797"/>
    <cellStyle name="Normal 147 4 2" xfId="12039"/>
    <cellStyle name="Normal 147 4 3" xfId="18194"/>
    <cellStyle name="Normal 147 4 4" xfId="24321"/>
    <cellStyle name="Normal 147 5" xfId="8951"/>
    <cellStyle name="Normal 147 6" xfId="14779"/>
    <cellStyle name="Normal 147 7" xfId="21126"/>
    <cellStyle name="Normal 148" xfId="2658"/>
    <cellStyle name="Normal 148 2" xfId="4099"/>
    <cellStyle name="Normal 148 2 2" xfId="7208"/>
    <cellStyle name="Normal 148 2 2 2" xfId="13450"/>
    <cellStyle name="Normal 148 2 2 3" xfId="19605"/>
    <cellStyle name="Normal 148 2 2 4" xfId="25732"/>
    <cellStyle name="Normal 148 2 3" xfId="10363"/>
    <cellStyle name="Normal 148 2 4" xfId="16528"/>
    <cellStyle name="Normal 148 2 5" xfId="22656"/>
    <cellStyle name="Normal 148 3" xfId="4098"/>
    <cellStyle name="Normal 148 3 2" xfId="7207"/>
    <cellStyle name="Normal 148 3 2 2" xfId="13449"/>
    <cellStyle name="Normal 148 3 2 3" xfId="19604"/>
    <cellStyle name="Normal 148 3 2 4" xfId="25731"/>
    <cellStyle name="Normal 148 3 3" xfId="10362"/>
    <cellStyle name="Normal 148 3 4" xfId="16527"/>
    <cellStyle name="Normal 148 3 5" xfId="22655"/>
    <cellStyle name="Normal 148 4" xfId="5801"/>
    <cellStyle name="Normal 148 4 2" xfId="12043"/>
    <cellStyle name="Normal 148 4 3" xfId="18198"/>
    <cellStyle name="Normal 148 4 4" xfId="24325"/>
    <cellStyle name="Normal 148 5" xfId="8955"/>
    <cellStyle name="Normal 148 6" xfId="14780"/>
    <cellStyle name="Normal 148 7" xfId="21127"/>
    <cellStyle name="Normal 149" xfId="2660"/>
    <cellStyle name="Normal 149 2" xfId="4101"/>
    <cellStyle name="Normal 149 2 2" xfId="7210"/>
    <cellStyle name="Normal 149 2 2 2" xfId="13452"/>
    <cellStyle name="Normal 149 2 2 3" xfId="19607"/>
    <cellStyle name="Normal 149 2 2 4" xfId="25734"/>
    <cellStyle name="Normal 149 2 3" xfId="10365"/>
    <cellStyle name="Normal 149 2 4" xfId="16530"/>
    <cellStyle name="Normal 149 2 5" xfId="22658"/>
    <cellStyle name="Normal 149 3" xfId="4100"/>
    <cellStyle name="Normal 149 3 2" xfId="7209"/>
    <cellStyle name="Normal 149 3 2 2" xfId="13451"/>
    <cellStyle name="Normal 149 3 2 3" xfId="19606"/>
    <cellStyle name="Normal 149 3 2 4" xfId="25733"/>
    <cellStyle name="Normal 149 3 3" xfId="10364"/>
    <cellStyle name="Normal 149 3 4" xfId="16529"/>
    <cellStyle name="Normal 149 3 5" xfId="22657"/>
    <cellStyle name="Normal 149 4" xfId="5803"/>
    <cellStyle name="Normal 149 4 2" xfId="12045"/>
    <cellStyle name="Normal 149 4 3" xfId="18200"/>
    <cellStyle name="Normal 149 4 4" xfId="24327"/>
    <cellStyle name="Normal 149 5" xfId="8957"/>
    <cellStyle name="Normal 149 6" xfId="14781"/>
    <cellStyle name="Normal 149 7" xfId="21128"/>
    <cellStyle name="Normal 15" xfId="386"/>
    <cellStyle name="Normal 15 2" xfId="1148"/>
    <cellStyle name="Normal 15 2 2" xfId="1398"/>
    <cellStyle name="Normal 15 2 3" xfId="2454"/>
    <cellStyle name="Normal 15 2 3 2" xfId="4103"/>
    <cellStyle name="Normal 15 2 3 2 2" xfId="7212"/>
    <cellStyle name="Normal 15 2 3 2 2 2" xfId="13454"/>
    <cellStyle name="Normal 15 2 3 2 2 3" xfId="19609"/>
    <cellStyle name="Normal 15 2 3 2 2 4" xfId="25736"/>
    <cellStyle name="Normal 15 2 3 2 3" xfId="10367"/>
    <cellStyle name="Normal 15 2 3 2 4" xfId="16532"/>
    <cellStyle name="Normal 15 2 3 2 5" xfId="22660"/>
    <cellStyle name="Normal 15 2 3 3" xfId="4102"/>
    <cellStyle name="Normal 15 2 3 3 2" xfId="7211"/>
    <cellStyle name="Normal 15 2 3 3 2 2" xfId="13453"/>
    <cellStyle name="Normal 15 2 3 3 2 3" xfId="19608"/>
    <cellStyle name="Normal 15 2 3 3 2 4" xfId="25735"/>
    <cellStyle name="Normal 15 2 3 3 3" xfId="10366"/>
    <cellStyle name="Normal 15 2 3 3 4" xfId="16531"/>
    <cellStyle name="Normal 15 2 3 3 5" xfId="22659"/>
    <cellStyle name="Normal 15 2 3 4" xfId="5767"/>
    <cellStyle name="Normal 15 2 3 4 2" xfId="12009"/>
    <cellStyle name="Normal 15 2 3 4 3" xfId="18164"/>
    <cellStyle name="Normal 15 2 3 4 4" xfId="24291"/>
    <cellStyle name="Normal 15 2 3 5" xfId="8921"/>
    <cellStyle name="Normal 15 2 3 6" xfId="14782"/>
    <cellStyle name="Normal 15 2 3 7" xfId="21101"/>
    <cellStyle name="Normal 15 3" xfId="1432"/>
    <cellStyle name="Normal 15 3 2" xfId="2282"/>
    <cellStyle name="Normal 15 3 2 2" xfId="4105"/>
    <cellStyle name="Normal 15 3 2 2 2" xfId="7214"/>
    <cellStyle name="Normal 15 3 2 2 2 2" xfId="13456"/>
    <cellStyle name="Normal 15 3 2 2 2 3" xfId="19611"/>
    <cellStyle name="Normal 15 3 2 2 2 4" xfId="25738"/>
    <cellStyle name="Normal 15 3 2 2 3" xfId="10369"/>
    <cellStyle name="Normal 15 3 2 2 4" xfId="16534"/>
    <cellStyle name="Normal 15 3 2 2 5" xfId="22662"/>
    <cellStyle name="Normal 15 3 2 3" xfId="4104"/>
    <cellStyle name="Normal 15 3 2 3 2" xfId="7213"/>
    <cellStyle name="Normal 15 3 2 3 2 2" xfId="13455"/>
    <cellStyle name="Normal 15 3 2 3 2 3" xfId="19610"/>
    <cellStyle name="Normal 15 3 2 3 2 4" xfId="25737"/>
    <cellStyle name="Normal 15 3 2 3 3" xfId="10368"/>
    <cellStyle name="Normal 15 3 2 3 4" xfId="16533"/>
    <cellStyle name="Normal 15 3 2 3 5" xfId="22661"/>
    <cellStyle name="Normal 15 3 2 4" xfId="5595"/>
    <cellStyle name="Normal 15 3 2 4 2" xfId="11837"/>
    <cellStyle name="Normal 15 3 2 4 3" xfId="17992"/>
    <cellStyle name="Normal 15 3 2 4 4" xfId="24119"/>
    <cellStyle name="Normal 15 3 2 5" xfId="8749"/>
    <cellStyle name="Normal 15 3 2 6" xfId="14783"/>
    <cellStyle name="Normal 15 3 2 7" xfId="20929"/>
    <cellStyle name="Normal 15 4" xfId="2083"/>
    <cellStyle name="Normal 15 4 2" xfId="4107"/>
    <cellStyle name="Normal 15 4 2 2" xfId="7216"/>
    <cellStyle name="Normal 15 4 2 2 2" xfId="13458"/>
    <cellStyle name="Normal 15 4 2 2 3" xfId="19613"/>
    <cellStyle name="Normal 15 4 2 2 4" xfId="25740"/>
    <cellStyle name="Normal 15 4 2 3" xfId="10371"/>
    <cellStyle name="Normal 15 4 2 4" xfId="16536"/>
    <cellStyle name="Normal 15 4 2 5" xfId="22664"/>
    <cellStyle name="Normal 15 4 3" xfId="4106"/>
    <cellStyle name="Normal 15 4 3 2" xfId="7215"/>
    <cellStyle name="Normal 15 4 3 2 2" xfId="13457"/>
    <cellStyle name="Normal 15 4 3 2 3" xfId="19612"/>
    <cellStyle name="Normal 15 4 3 2 4" xfId="25739"/>
    <cellStyle name="Normal 15 4 3 3" xfId="10370"/>
    <cellStyle name="Normal 15 4 3 4" xfId="16535"/>
    <cellStyle name="Normal 15 4 3 5" xfId="22663"/>
    <cellStyle name="Normal 15 4 4" xfId="5408"/>
    <cellStyle name="Normal 15 4 4 2" xfId="11650"/>
    <cellStyle name="Normal 15 4 4 3" xfId="17805"/>
    <cellStyle name="Normal 15 4 4 4" xfId="23932"/>
    <cellStyle name="Normal 15 4 5" xfId="8562"/>
    <cellStyle name="Normal 15 4 6" xfId="14784"/>
    <cellStyle name="Normal 15 4 7" xfId="20742"/>
    <cellStyle name="Normal 150" xfId="2663"/>
    <cellStyle name="Normal 150 2" xfId="4109"/>
    <cellStyle name="Normal 150 2 2" xfId="7218"/>
    <cellStyle name="Normal 150 2 2 2" xfId="13460"/>
    <cellStyle name="Normal 150 2 2 3" xfId="19615"/>
    <cellStyle name="Normal 150 2 2 4" xfId="25742"/>
    <cellStyle name="Normal 150 2 3" xfId="10373"/>
    <cellStyle name="Normal 150 2 4" xfId="16538"/>
    <cellStyle name="Normal 150 2 5" xfId="22666"/>
    <cellStyle name="Normal 150 3" xfId="4108"/>
    <cellStyle name="Normal 150 3 2" xfId="7217"/>
    <cellStyle name="Normal 150 3 2 2" xfId="13459"/>
    <cellStyle name="Normal 150 3 2 3" xfId="19614"/>
    <cellStyle name="Normal 150 3 2 4" xfId="25741"/>
    <cellStyle name="Normal 150 3 3" xfId="10372"/>
    <cellStyle name="Normal 150 3 4" xfId="16537"/>
    <cellStyle name="Normal 150 3 5" xfId="22665"/>
    <cellStyle name="Normal 150 4" xfId="5806"/>
    <cellStyle name="Normal 150 4 2" xfId="12048"/>
    <cellStyle name="Normal 150 4 3" xfId="18203"/>
    <cellStyle name="Normal 150 4 4" xfId="24330"/>
    <cellStyle name="Normal 150 5" xfId="8960"/>
    <cellStyle name="Normal 150 6" xfId="14785"/>
    <cellStyle name="Normal 150 7" xfId="21129"/>
    <cellStyle name="Normal 151" xfId="4110"/>
    <cellStyle name="Normal 151 2" xfId="7219"/>
    <cellStyle name="Normal 151 2 2" xfId="13461"/>
    <cellStyle name="Normal 151 2 3" xfId="19616"/>
    <cellStyle name="Normal 151 2 4" xfId="25743"/>
    <cellStyle name="Normal 151 3" xfId="10374"/>
    <cellStyle name="Normal 151 4" xfId="14786"/>
    <cellStyle name="Normal 151 5" xfId="21130"/>
    <cellStyle name="Normal 152" xfId="4111"/>
    <cellStyle name="Normal 152 2" xfId="7220"/>
    <cellStyle name="Normal 152 2 2" xfId="13462"/>
    <cellStyle name="Normal 152 2 3" xfId="19617"/>
    <cellStyle name="Normal 152 2 4" xfId="25744"/>
    <cellStyle name="Normal 152 3" xfId="10375"/>
    <cellStyle name="Normal 152 4" xfId="14787"/>
    <cellStyle name="Normal 152 5" xfId="21131"/>
    <cellStyle name="Normal 153" xfId="746"/>
    <cellStyle name="Normal 154" xfId="4112"/>
    <cellStyle name="Normal 154 2" xfId="7221"/>
    <cellStyle name="Normal 154 2 2" xfId="13463"/>
    <cellStyle name="Normal 154 2 3" xfId="19618"/>
    <cellStyle name="Normal 154 2 4" xfId="25745"/>
    <cellStyle name="Normal 154 3" xfId="10376"/>
    <cellStyle name="Normal 154 4" xfId="14788"/>
    <cellStyle name="Normal 154 5" xfId="21132"/>
    <cellStyle name="Normal 155" xfId="4113"/>
    <cellStyle name="Normal 155 2" xfId="7222"/>
    <cellStyle name="Normal 155 2 2" xfId="13464"/>
    <cellStyle name="Normal 155 2 3" xfId="19619"/>
    <cellStyle name="Normal 155 2 4" xfId="25746"/>
    <cellStyle name="Normal 155 3" xfId="10377"/>
    <cellStyle name="Normal 155 4" xfId="14789"/>
    <cellStyle name="Normal 155 5" xfId="21133"/>
    <cellStyle name="Normal 156" xfId="4114"/>
    <cellStyle name="Normal 156 2" xfId="7223"/>
    <cellStyle name="Normal 156 2 2" xfId="13465"/>
    <cellStyle name="Normal 156 2 3" xfId="19620"/>
    <cellStyle name="Normal 156 2 4" xfId="25747"/>
    <cellStyle name="Normal 156 3" xfId="10378"/>
    <cellStyle name="Normal 156 4" xfId="14790"/>
    <cellStyle name="Normal 156 5" xfId="21134"/>
    <cellStyle name="Normal 157" xfId="4115"/>
    <cellStyle name="Normal 157 2" xfId="7224"/>
    <cellStyle name="Normal 157 2 2" xfId="13466"/>
    <cellStyle name="Normal 157 2 3" xfId="19621"/>
    <cellStyle name="Normal 157 2 4" xfId="25748"/>
    <cellStyle name="Normal 157 3" xfId="10379"/>
    <cellStyle name="Normal 157 4" xfId="14791"/>
    <cellStyle name="Normal 157 5" xfId="21135"/>
    <cellStyle name="Normal 158" xfId="4116"/>
    <cellStyle name="Normal 158 2" xfId="7973"/>
    <cellStyle name="Normal 158 3" xfId="7974"/>
    <cellStyle name="Normal 158 3 2" xfId="11077"/>
    <cellStyle name="Normal 158 3 3" xfId="17232"/>
    <cellStyle name="Normal 158 3 4" xfId="23359"/>
    <cellStyle name="Normal 158 4" xfId="14178"/>
    <cellStyle name="Normal 158 5" xfId="15077"/>
    <cellStyle name="Normal 159" xfId="4117"/>
    <cellStyle name="Normal 159 2" xfId="7975"/>
    <cellStyle name="Normal 159 3" xfId="7976"/>
    <cellStyle name="Normal 159 3 2" xfId="11072"/>
    <cellStyle name="Normal 159 3 3" xfId="17227"/>
    <cellStyle name="Normal 159 3 4" xfId="23354"/>
    <cellStyle name="Normal 16" xfId="463"/>
    <cellStyle name="Normal 16 2" xfId="464"/>
    <cellStyle name="Normal 16 2 2" xfId="1597"/>
    <cellStyle name="Normal 16 2 3" xfId="2455"/>
    <cellStyle name="Normal 16 3" xfId="1485"/>
    <cellStyle name="Normal 16 3 2" xfId="2590"/>
    <cellStyle name="Normal 16 4" xfId="1680"/>
    <cellStyle name="Normal 16 4 2" xfId="4119"/>
    <cellStyle name="Normal 16 4 2 2" xfId="7226"/>
    <cellStyle name="Normal 16 4 2 2 2" xfId="13468"/>
    <cellStyle name="Normal 16 4 2 2 3" xfId="19623"/>
    <cellStyle name="Normal 16 4 2 2 4" xfId="25750"/>
    <cellStyle name="Normal 16 4 2 3" xfId="10381"/>
    <cellStyle name="Normal 16 4 2 4" xfId="16540"/>
    <cellStyle name="Normal 16 4 2 5" xfId="22668"/>
    <cellStyle name="Normal 16 4 3" xfId="4118"/>
    <cellStyle name="Normal 16 4 3 2" xfId="7225"/>
    <cellStyle name="Normal 16 4 3 2 2" xfId="13467"/>
    <cellStyle name="Normal 16 4 3 2 3" xfId="19622"/>
    <cellStyle name="Normal 16 4 3 2 4" xfId="25749"/>
    <cellStyle name="Normal 16 4 3 3" xfId="10380"/>
    <cellStyle name="Normal 16 4 3 4" xfId="16539"/>
    <cellStyle name="Normal 16 4 3 5" xfId="22667"/>
    <cellStyle name="Normal 16 4 4" xfId="5269"/>
    <cellStyle name="Normal 16 4 4 2" xfId="11511"/>
    <cellStyle name="Normal 16 4 4 3" xfId="17666"/>
    <cellStyle name="Normal 16 4 4 4" xfId="23793"/>
    <cellStyle name="Normal 16 4 5" xfId="8425"/>
    <cellStyle name="Normal 16 4 6" xfId="14792"/>
    <cellStyle name="Normal 16 4 7" xfId="20606"/>
    <cellStyle name="Normal 16 5" xfId="1963"/>
    <cellStyle name="Normal 160" xfId="4120"/>
    <cellStyle name="Normal 160 2" xfId="7227"/>
    <cellStyle name="Normal 160 2 2" xfId="13469"/>
    <cellStyle name="Normal 160 2 3" xfId="19624"/>
    <cellStyle name="Normal 160 2 4" xfId="25751"/>
    <cellStyle name="Normal 160 3" xfId="10382"/>
    <cellStyle name="Normal 160 4" xfId="16541"/>
    <cellStyle name="Normal 160 5" xfId="22669"/>
    <cellStyle name="Normal 161" xfId="4121"/>
    <cellStyle name="Normal 161 2" xfId="7977"/>
    <cellStyle name="Normal 161 3" xfId="7978"/>
    <cellStyle name="Normal 161 3 2" xfId="11071"/>
    <cellStyle name="Normal 161 3 3" xfId="17226"/>
    <cellStyle name="Normal 161 3 4" xfId="23353"/>
    <cellStyle name="Normal 162" xfId="4122"/>
    <cellStyle name="Normal 162 2" xfId="7979"/>
    <cellStyle name="Normal 162 3" xfId="7980"/>
    <cellStyle name="Normal 162 3 2" xfId="11070"/>
    <cellStyle name="Normal 162 3 3" xfId="17225"/>
    <cellStyle name="Normal 162 3 4" xfId="23352"/>
    <cellStyle name="Normal 163" xfId="4123"/>
    <cellStyle name="Normal 163 2" xfId="7228"/>
    <cellStyle name="Normal 163 2 2" xfId="13470"/>
    <cellStyle name="Normal 163 2 3" xfId="19625"/>
    <cellStyle name="Normal 163 2 4" xfId="25752"/>
    <cellStyle name="Normal 163 3" xfId="10383"/>
    <cellStyle name="Normal 163 4" xfId="16542"/>
    <cellStyle name="Normal 163 5" xfId="22670"/>
    <cellStyle name="Normal 164" xfId="4124"/>
    <cellStyle name="Normal 164 2" xfId="7229"/>
    <cellStyle name="Normal 164 2 2" xfId="13471"/>
    <cellStyle name="Normal 164 2 3" xfId="19626"/>
    <cellStyle name="Normal 164 2 4" xfId="25753"/>
    <cellStyle name="Normal 164 3" xfId="10384"/>
    <cellStyle name="Normal 164 4" xfId="16543"/>
    <cellStyle name="Normal 164 5" xfId="22671"/>
    <cellStyle name="Normal 165" xfId="4125"/>
    <cellStyle name="Normal 165 2" xfId="7230"/>
    <cellStyle name="Normal 165 2 2" xfId="13472"/>
    <cellStyle name="Normal 165 2 3" xfId="19627"/>
    <cellStyle name="Normal 165 2 4" xfId="25754"/>
    <cellStyle name="Normal 165 3" xfId="10385"/>
    <cellStyle name="Normal 165 4" xfId="16544"/>
    <cellStyle name="Normal 165 5" xfId="22672"/>
    <cellStyle name="Normal 166" xfId="4126"/>
    <cellStyle name="Normal 166 2" xfId="7231"/>
    <cellStyle name="Normal 166 2 2" xfId="13473"/>
    <cellStyle name="Normal 166 2 3" xfId="19628"/>
    <cellStyle name="Normal 166 2 4" xfId="25755"/>
    <cellStyle name="Normal 166 3" xfId="10386"/>
    <cellStyle name="Normal 166 4" xfId="16545"/>
    <cellStyle name="Normal 166 5" xfId="22673"/>
    <cellStyle name="Normal 167" xfId="4127"/>
    <cellStyle name="Normal 167 2" xfId="7232"/>
    <cellStyle name="Normal 167 2 2" xfId="13474"/>
    <cellStyle name="Normal 167 2 3" xfId="19629"/>
    <cellStyle name="Normal 167 2 4" xfId="25756"/>
    <cellStyle name="Normal 167 3" xfId="10387"/>
    <cellStyle name="Normal 167 4" xfId="16546"/>
    <cellStyle name="Normal 167 5" xfId="22674"/>
    <cellStyle name="Normal 168" xfId="4128"/>
    <cellStyle name="Normal 168 2" xfId="7981"/>
    <cellStyle name="Normal 168 3" xfId="7982"/>
    <cellStyle name="Normal 168 3 2" xfId="11085"/>
    <cellStyle name="Normal 168 3 3" xfId="17240"/>
    <cellStyle name="Normal 168 3 4" xfId="23367"/>
    <cellStyle name="Normal 169" xfId="4129"/>
    <cellStyle name="Normal 169 2" xfId="7983"/>
    <cellStyle name="Normal 169 3" xfId="7984"/>
    <cellStyle name="Normal 169 3 2" xfId="11099"/>
    <cellStyle name="Normal 169 3 3" xfId="17254"/>
    <cellStyle name="Normal 169 3 4" xfId="23381"/>
    <cellStyle name="Normal 17" xfId="465"/>
    <cellStyle name="Normal 17 2" xfId="1215"/>
    <cellStyle name="Normal 17 2 2" xfId="2593"/>
    <cellStyle name="Normal 17 2 2 2" xfId="2595"/>
    <cellStyle name="Normal 17 2 2 2 2" xfId="4131"/>
    <cellStyle name="Normal 17 2 2 2 2 2" xfId="7234"/>
    <cellStyle name="Normal 17 2 2 2 2 2 2" xfId="13476"/>
    <cellStyle name="Normal 17 2 2 2 2 2 3" xfId="19631"/>
    <cellStyle name="Normal 17 2 2 2 2 2 4" xfId="25758"/>
    <cellStyle name="Normal 17 2 2 2 2 3" xfId="10389"/>
    <cellStyle name="Normal 17 2 2 2 2 4" xfId="16548"/>
    <cellStyle name="Normal 17 2 2 2 2 5" xfId="22676"/>
    <cellStyle name="Normal 17 2 2 2 3" xfId="4130"/>
    <cellStyle name="Normal 17 2 2 2 3 2" xfId="7233"/>
    <cellStyle name="Normal 17 2 2 2 3 2 2" xfId="13475"/>
    <cellStyle name="Normal 17 2 2 2 3 2 3" xfId="19630"/>
    <cellStyle name="Normal 17 2 2 2 3 2 4" xfId="25757"/>
    <cellStyle name="Normal 17 2 2 2 3 3" xfId="10388"/>
    <cellStyle name="Normal 17 2 2 2 3 4" xfId="16547"/>
    <cellStyle name="Normal 17 2 2 2 3 5" xfId="22675"/>
    <cellStyle name="Normal 17 2 2 2 4" xfId="5777"/>
    <cellStyle name="Normal 17 2 2 2 4 2" xfId="12019"/>
    <cellStyle name="Normal 17 2 2 2 4 3" xfId="18174"/>
    <cellStyle name="Normal 17 2 2 2 4 4" xfId="24301"/>
    <cellStyle name="Normal 17 2 2 2 5" xfId="8931"/>
    <cellStyle name="Normal 17 2 2 2 6" xfId="14793"/>
    <cellStyle name="Normal 17 2 2 2 7" xfId="21111"/>
    <cellStyle name="Normal 17 2 2 3" xfId="2598"/>
    <cellStyle name="Normal 17 2 3" xfId="2540"/>
    <cellStyle name="Normal 17 2 3 2" xfId="4133"/>
    <cellStyle name="Normal 17 2 3 2 2" xfId="7236"/>
    <cellStyle name="Normal 17 2 3 2 2 2" xfId="13478"/>
    <cellStyle name="Normal 17 2 3 2 2 3" xfId="19633"/>
    <cellStyle name="Normal 17 2 3 2 2 4" xfId="25760"/>
    <cellStyle name="Normal 17 2 3 2 3" xfId="10391"/>
    <cellStyle name="Normal 17 2 3 2 4" xfId="16550"/>
    <cellStyle name="Normal 17 2 3 2 5" xfId="22678"/>
    <cellStyle name="Normal 17 2 3 3" xfId="4132"/>
    <cellStyle name="Normal 17 2 3 3 2" xfId="7235"/>
    <cellStyle name="Normal 17 2 3 3 2 2" xfId="13477"/>
    <cellStyle name="Normal 17 2 3 3 2 3" xfId="19632"/>
    <cellStyle name="Normal 17 2 3 3 2 4" xfId="25759"/>
    <cellStyle name="Normal 17 2 3 3 3" xfId="10390"/>
    <cellStyle name="Normal 17 2 3 3 4" xfId="16549"/>
    <cellStyle name="Normal 17 2 3 3 5" xfId="22677"/>
    <cellStyle name="Normal 17 2 3 4" xfId="5776"/>
    <cellStyle name="Normal 17 2 3 4 2" xfId="12018"/>
    <cellStyle name="Normal 17 2 3 4 3" xfId="18173"/>
    <cellStyle name="Normal 17 2 3 4 4" xfId="24300"/>
    <cellStyle name="Normal 17 2 3 5" xfId="8930"/>
    <cellStyle name="Normal 17 2 3 6" xfId="14794"/>
    <cellStyle name="Normal 17 2 3 7" xfId="21110"/>
    <cellStyle name="Normal 17 3" xfId="867"/>
    <cellStyle name="Normal 17 4" xfId="1789"/>
    <cellStyle name="Normal 17 4 2" xfId="4135"/>
    <cellStyle name="Normal 17 4 2 2" xfId="7238"/>
    <cellStyle name="Normal 17 4 2 2 2" xfId="13480"/>
    <cellStyle name="Normal 17 4 2 2 3" xfId="19635"/>
    <cellStyle name="Normal 17 4 2 2 4" xfId="25762"/>
    <cellStyle name="Normal 17 4 2 3" xfId="10393"/>
    <cellStyle name="Normal 17 4 2 4" xfId="16552"/>
    <cellStyle name="Normal 17 4 2 5" xfId="22680"/>
    <cellStyle name="Normal 17 4 3" xfId="4134"/>
    <cellStyle name="Normal 17 4 3 2" xfId="7237"/>
    <cellStyle name="Normal 17 4 3 2 2" xfId="13479"/>
    <cellStyle name="Normal 17 4 3 2 3" xfId="19634"/>
    <cellStyle name="Normal 17 4 3 2 4" xfId="25761"/>
    <cellStyle name="Normal 17 4 3 3" xfId="10392"/>
    <cellStyle name="Normal 17 4 3 4" xfId="16551"/>
    <cellStyle name="Normal 17 4 3 5" xfId="22679"/>
    <cellStyle name="Normal 17 4 4" xfId="5286"/>
    <cellStyle name="Normal 17 4 4 2" xfId="11528"/>
    <cellStyle name="Normal 17 4 4 3" xfId="17683"/>
    <cellStyle name="Normal 17 4 4 4" xfId="23810"/>
    <cellStyle name="Normal 17 4 5" xfId="8442"/>
    <cellStyle name="Normal 17 4 6" xfId="14795"/>
    <cellStyle name="Normal 17 4 7" xfId="20623"/>
    <cellStyle name="Normal 17 5" xfId="2088"/>
    <cellStyle name="Normal 17 5 2" xfId="4137"/>
    <cellStyle name="Normal 17 5 2 2" xfId="7240"/>
    <cellStyle name="Normal 17 5 2 2 2" xfId="13482"/>
    <cellStyle name="Normal 17 5 2 2 3" xfId="19637"/>
    <cellStyle name="Normal 17 5 2 2 4" xfId="25764"/>
    <cellStyle name="Normal 17 5 2 3" xfId="10395"/>
    <cellStyle name="Normal 17 5 2 4" xfId="16554"/>
    <cellStyle name="Normal 17 5 2 5" xfId="22682"/>
    <cellStyle name="Normal 17 5 3" xfId="4136"/>
    <cellStyle name="Normal 17 5 3 2" xfId="7239"/>
    <cellStyle name="Normal 17 5 3 2 2" xfId="13481"/>
    <cellStyle name="Normal 17 5 3 2 3" xfId="19636"/>
    <cellStyle name="Normal 17 5 3 2 4" xfId="25763"/>
    <cellStyle name="Normal 17 5 3 3" xfId="10394"/>
    <cellStyle name="Normal 17 5 3 4" xfId="16553"/>
    <cellStyle name="Normal 17 5 3 5" xfId="22681"/>
    <cellStyle name="Normal 17 5 4" xfId="5409"/>
    <cellStyle name="Normal 17 5 4 2" xfId="11651"/>
    <cellStyle name="Normal 17 5 4 3" xfId="17806"/>
    <cellStyle name="Normal 17 5 4 4" xfId="23933"/>
    <cellStyle name="Normal 17 5 5" xfId="8563"/>
    <cellStyle name="Normal 17 5 6" xfId="14796"/>
    <cellStyle name="Normal 17 5 7" xfId="20743"/>
    <cellStyle name="Normal 17 6" xfId="2535"/>
    <cellStyle name="Normal 17 7" xfId="4138"/>
    <cellStyle name="Normal 170" xfId="4139"/>
    <cellStyle name="Normal 170 2" xfId="7985"/>
    <cellStyle name="Normal 170 3" xfId="7986"/>
    <cellStyle name="Normal 170 4" xfId="7987"/>
    <cellStyle name="Normal 170 4 2" xfId="11098"/>
    <cellStyle name="Normal 170 4 3" xfId="17253"/>
    <cellStyle name="Normal 170 4 4" xfId="23380"/>
    <cellStyle name="Normal 171" xfId="4140"/>
    <cellStyle name="Normal 171 2" xfId="7988"/>
    <cellStyle name="Normal 171 3" xfId="7989"/>
    <cellStyle name="Normal 171 4" xfId="7990"/>
    <cellStyle name="Normal 171 4 2" xfId="11097"/>
    <cellStyle name="Normal 171 4 3" xfId="17252"/>
    <cellStyle name="Normal 171 4 4" xfId="23379"/>
    <cellStyle name="Normal 172" xfId="2667"/>
    <cellStyle name="Normal 172 2" xfId="7991"/>
    <cellStyle name="Normal 172 3" xfId="7992"/>
    <cellStyle name="Normal 172 4" xfId="7993"/>
    <cellStyle name="Normal 172 4 2" xfId="11062"/>
    <cellStyle name="Normal 172 4 3" xfId="17217"/>
    <cellStyle name="Normal 172 4 4" xfId="23344"/>
    <cellStyle name="Normal 173" xfId="2668"/>
    <cellStyle name="Normal 173 2" xfId="7994"/>
    <cellStyle name="Normal 173 3" xfId="7995"/>
    <cellStyle name="Normal 173 3 2" xfId="11076"/>
    <cellStyle name="Normal 173 3 3" xfId="17231"/>
    <cellStyle name="Normal 173 3 4" xfId="23358"/>
    <cellStyle name="Normal 174" xfId="2666"/>
    <cellStyle name="Normal 174 2" xfId="5808"/>
    <cellStyle name="Normal 174 2 2" xfId="12050"/>
    <cellStyle name="Normal 174 2 3" xfId="18205"/>
    <cellStyle name="Normal 174 2 4" xfId="24332"/>
    <cellStyle name="Normal 174 3" xfId="7996"/>
    <cellStyle name="Normal 174 4" xfId="8962"/>
    <cellStyle name="Normal 174 5" xfId="15128"/>
    <cellStyle name="Normal 174 6" xfId="21256"/>
    <cellStyle name="Normal 175" xfId="2665"/>
    <cellStyle name="Normal 176" xfId="4848"/>
    <cellStyle name="Normal 176 2" xfId="7893"/>
    <cellStyle name="Normal 176 2 2" xfId="14135"/>
    <cellStyle name="Normal 176 2 3" xfId="20290"/>
    <cellStyle name="Normal 176 2 4" xfId="26417"/>
    <cellStyle name="Normal 176 3" xfId="7997"/>
    <cellStyle name="Normal 176 3 2" xfId="11104"/>
    <cellStyle name="Normal 176 3 3" xfId="17259"/>
    <cellStyle name="Normal 176 3 4" xfId="23386"/>
    <cellStyle name="Normal 176 4" xfId="11048"/>
    <cellStyle name="Normal 177" xfId="4868"/>
    <cellStyle name="Normal 177 2" xfId="11051"/>
    <cellStyle name="Normal 177 3" xfId="17208"/>
    <cellStyle name="Normal 177 4" xfId="23335"/>
    <cellStyle name="Normal 178" xfId="4888"/>
    <cellStyle name="Normal 178 2" xfId="7998"/>
    <cellStyle name="Normal 178 3" xfId="11052"/>
    <cellStyle name="Normal 178 4" xfId="17209"/>
    <cellStyle name="Normal 178 5" xfId="23336"/>
    <cellStyle name="Normal 179" xfId="4872"/>
    <cellStyle name="Normal 179 2" xfId="7999"/>
    <cellStyle name="Normal 179 2 2" xfId="11118"/>
    <cellStyle name="Normal 179 2 3" xfId="17273"/>
    <cellStyle name="Normal 179 2 4" xfId="23400"/>
    <cellStyle name="Normal 179 3" xfId="8046"/>
    <cellStyle name="Normal 179 4" xfId="14158"/>
    <cellStyle name="Normal 18" xfId="1194"/>
    <cellStyle name="Normal 18 2" xfId="1945"/>
    <cellStyle name="Normal 18 2 2" xfId="2609"/>
    <cellStyle name="Normal 18 3" xfId="1901"/>
    <cellStyle name="Normal 18 3 2" xfId="4142"/>
    <cellStyle name="Normal 18 3 2 2" xfId="7242"/>
    <cellStyle name="Normal 18 3 2 2 2" xfId="13484"/>
    <cellStyle name="Normal 18 3 2 2 3" xfId="19639"/>
    <cellStyle name="Normal 18 3 2 2 4" xfId="25766"/>
    <cellStyle name="Normal 18 3 2 3" xfId="10397"/>
    <cellStyle name="Normal 18 3 2 4" xfId="16556"/>
    <cellStyle name="Normal 18 3 2 5" xfId="22684"/>
    <cellStyle name="Normal 18 3 3" xfId="4141"/>
    <cellStyle name="Normal 18 3 3 2" xfId="7241"/>
    <cellStyle name="Normal 18 3 3 2 2" xfId="13483"/>
    <cellStyle name="Normal 18 3 3 2 3" xfId="19638"/>
    <cellStyle name="Normal 18 3 3 2 4" xfId="25765"/>
    <cellStyle name="Normal 18 3 3 3" xfId="10396"/>
    <cellStyle name="Normal 18 3 3 4" xfId="16555"/>
    <cellStyle name="Normal 18 3 3 5" xfId="22683"/>
    <cellStyle name="Normal 18 3 4" xfId="5309"/>
    <cellStyle name="Normal 18 3 4 2" xfId="11551"/>
    <cellStyle name="Normal 18 3 4 3" xfId="17706"/>
    <cellStyle name="Normal 18 3 4 4" xfId="23833"/>
    <cellStyle name="Normal 18 3 5" xfId="8464"/>
    <cellStyle name="Normal 18 3 6" xfId="14797"/>
    <cellStyle name="Normal 18 3 7" xfId="20645"/>
    <cellStyle name="Normal 18 4" xfId="2102"/>
    <cellStyle name="Normal 18 5" xfId="2594"/>
    <cellStyle name="Normal 18 6" xfId="4143"/>
    <cellStyle name="Normal 180" xfId="5103"/>
    <cellStyle name="Normal 180 2" xfId="11346"/>
    <cellStyle name="Normal 180 3" xfId="17501"/>
    <cellStyle name="Normal 180 4" xfId="23628"/>
    <cellStyle name="Normal 181" xfId="5407"/>
    <cellStyle name="Normal 181 2" xfId="11649"/>
    <cellStyle name="Normal 181 3" xfId="17804"/>
    <cellStyle name="Normal 181 4" xfId="23931"/>
    <cellStyle name="Normal 182" xfId="5262"/>
    <cellStyle name="Normal 182 2" xfId="11504"/>
    <cellStyle name="Normal 182 3" xfId="17659"/>
    <cellStyle name="Normal 182 4" xfId="23786"/>
    <cellStyle name="Normal 183" xfId="7912"/>
    <cellStyle name="Normal 183 2" xfId="14154"/>
    <cellStyle name="Normal 183 3" xfId="20309"/>
    <cellStyle name="Normal 183 4" xfId="26436"/>
    <cellStyle name="Normal 184" xfId="7908"/>
    <cellStyle name="Normal 184 2" xfId="14150"/>
    <cellStyle name="Normal 184 3" xfId="20305"/>
    <cellStyle name="Normal 184 4" xfId="26432"/>
    <cellStyle name="Normal 185" xfId="7909"/>
    <cellStyle name="Normal 185 2" xfId="14151"/>
    <cellStyle name="Normal 185 3" xfId="20306"/>
    <cellStyle name="Normal 185 4" xfId="26433"/>
    <cellStyle name="Normal 186" xfId="7915"/>
    <cellStyle name="Normal 186 2" xfId="11056"/>
    <cellStyle name="Normal 186 3" xfId="14162"/>
    <cellStyle name="Normal 187" xfId="8029"/>
    <cellStyle name="Normal 188" xfId="8030"/>
    <cellStyle name="Normal 189" xfId="8260"/>
    <cellStyle name="Normal 19" xfId="387"/>
    <cellStyle name="Normal 19 2" xfId="1544"/>
    <cellStyle name="Normal 19 3" xfId="1784"/>
    <cellStyle name="Normal 19 3 2" xfId="4145"/>
    <cellStyle name="Normal 19 3 2 2" xfId="7244"/>
    <cellStyle name="Normal 19 3 2 2 2" xfId="13486"/>
    <cellStyle name="Normal 19 3 2 2 3" xfId="19641"/>
    <cellStyle name="Normal 19 3 2 2 4" xfId="25768"/>
    <cellStyle name="Normal 19 3 2 3" xfId="10399"/>
    <cellStyle name="Normal 19 3 2 4" xfId="16558"/>
    <cellStyle name="Normal 19 3 2 5" xfId="22686"/>
    <cellStyle name="Normal 19 3 3" xfId="4144"/>
    <cellStyle name="Normal 19 3 3 2" xfId="7243"/>
    <cellStyle name="Normal 19 3 3 2 2" xfId="13485"/>
    <cellStyle name="Normal 19 3 3 2 3" xfId="19640"/>
    <cellStyle name="Normal 19 3 3 2 4" xfId="25767"/>
    <cellStyle name="Normal 19 3 3 3" xfId="10398"/>
    <cellStyle name="Normal 19 3 3 4" xfId="16557"/>
    <cellStyle name="Normal 19 3 3 5" xfId="22685"/>
    <cellStyle name="Normal 19 3 4" xfId="5285"/>
    <cellStyle name="Normal 19 3 4 2" xfId="11527"/>
    <cellStyle name="Normal 19 3 4 3" xfId="17682"/>
    <cellStyle name="Normal 19 3 4 4" xfId="23809"/>
    <cellStyle name="Normal 19 3 5" xfId="8441"/>
    <cellStyle name="Normal 19 3 6" xfId="14798"/>
    <cellStyle name="Normal 19 3 7" xfId="20622"/>
    <cellStyle name="Normal 19 4" xfId="1403"/>
    <cellStyle name="Normal 19 5" xfId="2108"/>
    <cellStyle name="Normal 19 6" xfId="4146"/>
    <cellStyle name="Normal 19 6 2" xfId="7245"/>
    <cellStyle name="Normal 19 6 2 2" xfId="13487"/>
    <cellStyle name="Normal 19 6 2 3" xfId="19642"/>
    <cellStyle name="Normal 19 6 2 4" xfId="25769"/>
    <cellStyle name="Normal 19 6 3" xfId="10400"/>
    <cellStyle name="Normal 19 6 4" xfId="16559"/>
    <cellStyle name="Normal 19 6 5" xfId="22687"/>
    <cellStyle name="Normal 190" xfId="8338"/>
    <cellStyle name="Normal 191" xfId="9468"/>
    <cellStyle name="Normal 192" xfId="14161"/>
    <cellStyle name="Normal 193" xfId="14163"/>
    <cellStyle name="Normal 194" xfId="14169"/>
    <cellStyle name="Normal 195" xfId="14185"/>
    <cellStyle name="Normal 196" xfId="14186"/>
    <cellStyle name="Normal 197" xfId="14187"/>
    <cellStyle name="Normal 198" xfId="20312"/>
    <cellStyle name="Normal 199" xfId="20313"/>
    <cellStyle name="Normal 2" xfId="152"/>
    <cellStyle name="Normal 2 10" xfId="1164"/>
    <cellStyle name="Normal 2 10 2" xfId="1866"/>
    <cellStyle name="Normal 2 10 3" xfId="2548"/>
    <cellStyle name="Normal 2 11" xfId="1181"/>
    <cellStyle name="Normal 2 11 2" xfId="1762"/>
    <cellStyle name="Normal 2 11 2 2" xfId="2601"/>
    <cellStyle name="Normal 2 11 3" xfId="2605"/>
    <cellStyle name="Normal 2 11 4" xfId="2604"/>
    <cellStyle name="Normal 2 11 5" xfId="2591"/>
    <cellStyle name="Normal 2 12" xfId="1175"/>
    <cellStyle name="Normal 2 12 2" xfId="2602"/>
    <cellStyle name="Normal 2 13" xfId="1216"/>
    <cellStyle name="Normal 2 14" xfId="1895"/>
    <cellStyle name="Normal 2 15" xfId="2638"/>
    <cellStyle name="Normal 2 16" xfId="388"/>
    <cellStyle name="Normal 2 17" xfId="262"/>
    <cellStyle name="Normal 2 17 2" xfId="4149"/>
    <cellStyle name="Normal 2 17 2 2" xfId="7248"/>
    <cellStyle name="Normal 2 17 2 2 2" xfId="13490"/>
    <cellStyle name="Normal 2 17 2 2 3" xfId="19645"/>
    <cellStyle name="Normal 2 17 2 2 4" xfId="25772"/>
    <cellStyle name="Normal 2 17 2 3" xfId="10403"/>
    <cellStyle name="Normal 2 17 2 4" xfId="16562"/>
    <cellStyle name="Normal 2 17 2 5" xfId="22690"/>
    <cellStyle name="Normal 2 17 3" xfId="4148"/>
    <cellStyle name="Normal 2 17 3 2" xfId="7247"/>
    <cellStyle name="Normal 2 17 3 2 2" xfId="13489"/>
    <cellStyle name="Normal 2 17 3 2 3" xfId="19644"/>
    <cellStyle name="Normal 2 17 3 2 4" xfId="25771"/>
    <cellStyle name="Normal 2 17 3 3" xfId="10402"/>
    <cellStyle name="Normal 2 17 3 4" xfId="16561"/>
    <cellStyle name="Normal 2 17 3 5" xfId="22689"/>
    <cellStyle name="Normal 2 17 4" xfId="5042"/>
    <cellStyle name="Normal 2 17 4 2" xfId="11285"/>
    <cellStyle name="Normal 2 17 4 3" xfId="17440"/>
    <cellStyle name="Normal 2 17 4 4" xfId="23567"/>
    <cellStyle name="Normal 2 17 5" xfId="8200"/>
    <cellStyle name="Normal 2 17 6" xfId="15105"/>
    <cellStyle name="Normal 2 17 7" xfId="21233"/>
    <cellStyle name="Normal 2 18" xfId="4150"/>
    <cellStyle name="Normal 2 18 2" xfId="8000"/>
    <cellStyle name="Normal 2 18 3" xfId="8001"/>
    <cellStyle name="Normal 2 19" xfId="4151"/>
    <cellStyle name="Normal 2 19 2" xfId="7249"/>
    <cellStyle name="Normal 2 19 2 2" xfId="13491"/>
    <cellStyle name="Normal 2 19 2 3" xfId="19646"/>
    <cellStyle name="Normal 2 19 2 4" xfId="25773"/>
    <cellStyle name="Normal 2 19 3" xfId="8002"/>
    <cellStyle name="Normal 2 19 4" xfId="10404"/>
    <cellStyle name="Normal 2 19 5" xfId="16563"/>
    <cellStyle name="Normal 2 19 6" xfId="22691"/>
    <cellStyle name="Normal 2 2" xfId="153"/>
    <cellStyle name="Normal 2 2 10" xfId="389"/>
    <cellStyle name="Normal 2 2 10 2" xfId="4153"/>
    <cellStyle name="Normal 2 2 10 2 2" xfId="7251"/>
    <cellStyle name="Normal 2 2 10 2 2 2" xfId="13493"/>
    <cellStyle name="Normal 2 2 10 2 2 3" xfId="19648"/>
    <cellStyle name="Normal 2 2 10 2 2 4" xfId="25775"/>
    <cellStyle name="Normal 2 2 10 2 3" xfId="10406"/>
    <cellStyle name="Normal 2 2 10 2 4" xfId="16565"/>
    <cellStyle name="Normal 2 2 10 2 5" xfId="22693"/>
    <cellStyle name="Normal 2 2 11" xfId="263"/>
    <cellStyle name="Normal 2 2 11 2" xfId="4155"/>
    <cellStyle name="Normal 2 2 11 2 2" xfId="7253"/>
    <cellStyle name="Normal 2 2 11 2 2 2" xfId="13495"/>
    <cellStyle name="Normal 2 2 11 2 2 3" xfId="19650"/>
    <cellStyle name="Normal 2 2 11 2 2 4" xfId="25777"/>
    <cellStyle name="Normal 2 2 11 2 3" xfId="10408"/>
    <cellStyle name="Normal 2 2 11 2 4" xfId="16567"/>
    <cellStyle name="Normal 2 2 11 2 5" xfId="22695"/>
    <cellStyle name="Normal 2 2 11 3" xfId="4154"/>
    <cellStyle name="Normal 2 2 11 3 2" xfId="7252"/>
    <cellStyle name="Normal 2 2 11 3 2 2" xfId="13494"/>
    <cellStyle name="Normal 2 2 11 3 2 3" xfId="19649"/>
    <cellStyle name="Normal 2 2 11 3 2 4" xfId="25776"/>
    <cellStyle name="Normal 2 2 11 3 3" xfId="10407"/>
    <cellStyle name="Normal 2 2 11 3 4" xfId="16566"/>
    <cellStyle name="Normal 2 2 11 3 5" xfId="22694"/>
    <cellStyle name="Normal 2 2 11 4" xfId="5043"/>
    <cellStyle name="Normal 2 2 11 4 2" xfId="11286"/>
    <cellStyle name="Normal 2 2 11 4 3" xfId="17441"/>
    <cellStyle name="Normal 2 2 11 4 4" xfId="23568"/>
    <cellStyle name="Normal 2 2 11 5" xfId="8201"/>
    <cellStyle name="Normal 2 2 11 6" xfId="14801"/>
    <cellStyle name="Normal 2 2 11 7" xfId="21196"/>
    <cellStyle name="Normal 2 2 12" xfId="4156"/>
    <cellStyle name="Normal 2 2 12 2" xfId="7254"/>
    <cellStyle name="Normal 2 2 12 2 2" xfId="13496"/>
    <cellStyle name="Normal 2 2 12 2 3" xfId="19651"/>
    <cellStyle name="Normal 2 2 12 2 4" xfId="25778"/>
    <cellStyle name="Normal 2 2 12 3" xfId="10409"/>
    <cellStyle name="Normal 2 2 12 4" xfId="16568"/>
    <cellStyle name="Normal 2 2 12 5" xfId="22696"/>
    <cellStyle name="Normal 2 2 13" xfId="4157"/>
    <cellStyle name="Normal 2 2 13 2" xfId="7255"/>
    <cellStyle name="Normal 2 2 13 2 2" xfId="13497"/>
    <cellStyle name="Normal 2 2 13 2 3" xfId="19652"/>
    <cellStyle name="Normal 2 2 13 2 4" xfId="25779"/>
    <cellStyle name="Normal 2 2 13 3" xfId="10410"/>
    <cellStyle name="Normal 2 2 13 4" xfId="16569"/>
    <cellStyle name="Normal 2 2 13 5" xfId="22697"/>
    <cellStyle name="Normal 2 2 14" xfId="4152"/>
    <cellStyle name="Normal 2 2 14 2" xfId="7250"/>
    <cellStyle name="Normal 2 2 14 2 2" xfId="13492"/>
    <cellStyle name="Normal 2 2 14 2 3" xfId="19647"/>
    <cellStyle name="Normal 2 2 14 2 4" xfId="25774"/>
    <cellStyle name="Normal 2 2 14 3" xfId="10405"/>
    <cellStyle name="Normal 2 2 14 4" xfId="16564"/>
    <cellStyle name="Normal 2 2 14 5" xfId="22692"/>
    <cellStyle name="Normal 2 2 15" xfId="4951"/>
    <cellStyle name="Normal 2 2 15 2" xfId="11195"/>
    <cellStyle name="Normal 2 2 15 3" xfId="17350"/>
    <cellStyle name="Normal 2 2 15 4" xfId="23477"/>
    <cellStyle name="Normal 2 2 16" xfId="8109"/>
    <cellStyle name="Normal 2 2 17" xfId="14800"/>
    <cellStyle name="Normal 2 2 18" xfId="20389"/>
    <cellStyle name="Normal 2 2 2" xfId="321"/>
    <cellStyle name="Normal 2 2 2 2" xfId="1162"/>
    <cellStyle name="Normal 2 2 2 3" xfId="1289"/>
    <cellStyle name="Normal 2 2 2 3 2" xfId="4159"/>
    <cellStyle name="Normal 2 2 2 3 2 2" xfId="7257"/>
    <cellStyle name="Normal 2 2 2 3 2 2 2" xfId="13499"/>
    <cellStyle name="Normal 2 2 2 3 2 2 3" xfId="19654"/>
    <cellStyle name="Normal 2 2 2 3 2 2 4" xfId="25781"/>
    <cellStyle name="Normal 2 2 2 3 2 3" xfId="10412"/>
    <cellStyle name="Normal 2 2 2 3 2 4" xfId="16571"/>
    <cellStyle name="Normal 2 2 2 3 2 5" xfId="22699"/>
    <cellStyle name="Normal 2 2 2 3 3" xfId="4158"/>
    <cellStyle name="Normal 2 2 2 3 3 2" xfId="7256"/>
    <cellStyle name="Normal 2 2 2 3 3 2 2" xfId="13498"/>
    <cellStyle name="Normal 2 2 2 3 3 2 3" xfId="19653"/>
    <cellStyle name="Normal 2 2 2 3 3 2 4" xfId="25780"/>
    <cellStyle name="Normal 2 2 2 3 3 3" xfId="10411"/>
    <cellStyle name="Normal 2 2 2 3 3 4" xfId="16570"/>
    <cellStyle name="Normal 2 2 2 3 3 5" xfId="22698"/>
    <cellStyle name="Normal 2 2 2 3 4" xfId="5217"/>
    <cellStyle name="Normal 2 2 2 3 4 2" xfId="11459"/>
    <cellStyle name="Normal 2 2 2 3 4 3" xfId="17614"/>
    <cellStyle name="Normal 2 2 2 3 4 4" xfId="23741"/>
    <cellStyle name="Normal 2 2 2 3 5" xfId="8373"/>
    <cellStyle name="Normal 2 2 2 3 6" xfId="14802"/>
    <cellStyle name="Normal 2 2 2 3 7" xfId="20555"/>
    <cellStyle name="Normal 2 2 2 4" xfId="1383"/>
    <cellStyle name="Normal 2 2 2 4 2" xfId="4161"/>
    <cellStyle name="Normal 2 2 2 4 2 2" xfId="7259"/>
    <cellStyle name="Normal 2 2 2 4 2 2 2" xfId="13501"/>
    <cellStyle name="Normal 2 2 2 4 2 2 3" xfId="19656"/>
    <cellStyle name="Normal 2 2 2 4 2 2 4" xfId="25783"/>
    <cellStyle name="Normal 2 2 2 4 2 3" xfId="10414"/>
    <cellStyle name="Normal 2 2 2 4 2 4" xfId="16573"/>
    <cellStyle name="Normal 2 2 2 4 2 5" xfId="22701"/>
    <cellStyle name="Normal 2 2 2 4 3" xfId="4160"/>
    <cellStyle name="Normal 2 2 2 4 3 2" xfId="7258"/>
    <cellStyle name="Normal 2 2 2 4 3 2 2" xfId="13500"/>
    <cellStyle name="Normal 2 2 2 4 3 2 3" xfId="19655"/>
    <cellStyle name="Normal 2 2 2 4 3 2 4" xfId="25782"/>
    <cellStyle name="Normal 2 2 2 4 3 3" xfId="10413"/>
    <cellStyle name="Normal 2 2 2 4 3 4" xfId="16572"/>
    <cellStyle name="Normal 2 2 2 4 3 5" xfId="22700"/>
    <cellStyle name="Normal 2 2 2 4 4" xfId="5230"/>
    <cellStyle name="Normal 2 2 2 4 4 2" xfId="11472"/>
    <cellStyle name="Normal 2 2 2 4 4 3" xfId="17627"/>
    <cellStyle name="Normal 2 2 2 4 4 4" xfId="23754"/>
    <cellStyle name="Normal 2 2 2 4 5" xfId="8386"/>
    <cellStyle name="Normal 2 2 2 4 6" xfId="14803"/>
    <cellStyle name="Normal 2 2 2 4 7" xfId="20568"/>
    <cellStyle name="Normal 2 2 2 5" xfId="815"/>
    <cellStyle name="Normal 2 2 2 5 2" xfId="4163"/>
    <cellStyle name="Normal 2 2 2 5 2 2" xfId="7261"/>
    <cellStyle name="Normal 2 2 2 5 2 2 2" xfId="13503"/>
    <cellStyle name="Normal 2 2 2 5 2 2 3" xfId="19658"/>
    <cellStyle name="Normal 2 2 2 5 2 2 4" xfId="25785"/>
    <cellStyle name="Normal 2 2 2 5 2 3" xfId="10416"/>
    <cellStyle name="Normal 2 2 2 5 2 4" xfId="16575"/>
    <cellStyle name="Normal 2 2 2 5 2 5" xfId="22703"/>
    <cellStyle name="Normal 2 2 2 5 3" xfId="4162"/>
    <cellStyle name="Normal 2 2 2 5 3 2" xfId="7260"/>
    <cellStyle name="Normal 2 2 2 5 3 2 2" xfId="13502"/>
    <cellStyle name="Normal 2 2 2 5 3 2 3" xfId="19657"/>
    <cellStyle name="Normal 2 2 2 5 3 2 4" xfId="25784"/>
    <cellStyle name="Normal 2 2 2 5 3 3" xfId="10415"/>
    <cellStyle name="Normal 2 2 2 5 3 4" xfId="16574"/>
    <cellStyle name="Normal 2 2 2 5 3 5" xfId="22702"/>
    <cellStyle name="Normal 2 2 2 5 4" xfId="5164"/>
    <cellStyle name="Normal 2 2 2 5 4 2" xfId="11407"/>
    <cellStyle name="Normal 2 2 2 5 4 3" xfId="17562"/>
    <cellStyle name="Normal 2 2 2 5 4 4" xfId="23689"/>
    <cellStyle name="Normal 2 2 2 5 5" xfId="8321"/>
    <cellStyle name="Normal 2 2 2 5 6" xfId="14804"/>
    <cellStyle name="Normal 2 2 2 5 7" xfId="20504"/>
    <cellStyle name="Normal 2 2 2 6" xfId="4164"/>
    <cellStyle name="Normal 2 2 2 7" xfId="4165"/>
    <cellStyle name="Normal 2 2 2 7 2" xfId="7262"/>
    <cellStyle name="Normal 2 2 2 7 2 2" xfId="13504"/>
    <cellStyle name="Normal 2 2 2 7 2 3" xfId="19659"/>
    <cellStyle name="Normal 2 2 2 7 2 4" xfId="25786"/>
    <cellStyle name="Normal 2 2 2 7 3" xfId="10417"/>
    <cellStyle name="Normal 2 2 2 7 4" xfId="16576"/>
    <cellStyle name="Normal 2 2 2 7 5" xfId="22704"/>
    <cellStyle name="Normal 2 2 3" xfId="856"/>
    <cellStyle name="Normal 2 2 3 10" xfId="4166"/>
    <cellStyle name="Normal 2 2 3 10 2" xfId="7263"/>
    <cellStyle name="Normal 2 2 3 10 2 2" xfId="13505"/>
    <cellStyle name="Normal 2 2 3 10 2 3" xfId="19660"/>
    <cellStyle name="Normal 2 2 3 10 2 4" xfId="25787"/>
    <cellStyle name="Normal 2 2 3 10 3" xfId="10418"/>
    <cellStyle name="Normal 2 2 3 10 4" xfId="16577"/>
    <cellStyle name="Normal 2 2 3 10 5" xfId="22705"/>
    <cellStyle name="Normal 2 2 3 2" xfId="1152"/>
    <cellStyle name="Normal 2 2 3 2 2" xfId="2365"/>
    <cellStyle name="Normal 2 2 3 2 2 2" xfId="4169"/>
    <cellStyle name="Normal 2 2 3 2 2 2 2" xfId="7266"/>
    <cellStyle name="Normal 2 2 3 2 2 2 2 2" xfId="13508"/>
    <cellStyle name="Normal 2 2 3 2 2 2 2 3" xfId="19663"/>
    <cellStyle name="Normal 2 2 3 2 2 2 2 4" xfId="25790"/>
    <cellStyle name="Normal 2 2 3 2 2 2 3" xfId="10421"/>
    <cellStyle name="Normal 2 2 3 2 2 2 4" xfId="16580"/>
    <cellStyle name="Normal 2 2 3 2 2 2 5" xfId="22708"/>
    <cellStyle name="Normal 2 2 3 2 2 3" xfId="4168"/>
    <cellStyle name="Normal 2 2 3 2 2 3 2" xfId="7265"/>
    <cellStyle name="Normal 2 2 3 2 2 3 2 2" xfId="13507"/>
    <cellStyle name="Normal 2 2 3 2 2 3 2 3" xfId="19662"/>
    <cellStyle name="Normal 2 2 3 2 2 3 2 4" xfId="25789"/>
    <cellStyle name="Normal 2 2 3 2 2 3 3" xfId="10420"/>
    <cellStyle name="Normal 2 2 3 2 2 3 4" xfId="16579"/>
    <cellStyle name="Normal 2 2 3 2 2 3 5" xfId="22707"/>
    <cellStyle name="Normal 2 2 3 2 2 4" xfId="5678"/>
    <cellStyle name="Normal 2 2 3 2 2 4 2" xfId="11920"/>
    <cellStyle name="Normal 2 2 3 2 2 4 3" xfId="18075"/>
    <cellStyle name="Normal 2 2 3 2 2 4 4" xfId="24202"/>
    <cellStyle name="Normal 2 2 3 2 2 5" xfId="8832"/>
    <cellStyle name="Normal 2 2 3 2 2 6" xfId="14806"/>
    <cellStyle name="Normal 2 2 3 2 2 7" xfId="21012"/>
    <cellStyle name="Normal 2 2 3 2 3" xfId="2190"/>
    <cellStyle name="Normal 2 2 3 2 3 2" xfId="4171"/>
    <cellStyle name="Normal 2 2 3 2 3 2 2" xfId="7268"/>
    <cellStyle name="Normal 2 2 3 2 3 2 2 2" xfId="13510"/>
    <cellStyle name="Normal 2 2 3 2 3 2 2 3" xfId="19665"/>
    <cellStyle name="Normal 2 2 3 2 3 2 2 4" xfId="25792"/>
    <cellStyle name="Normal 2 2 3 2 3 2 3" xfId="10423"/>
    <cellStyle name="Normal 2 2 3 2 3 2 4" xfId="16582"/>
    <cellStyle name="Normal 2 2 3 2 3 2 5" xfId="22710"/>
    <cellStyle name="Normal 2 2 3 2 3 3" xfId="4170"/>
    <cellStyle name="Normal 2 2 3 2 3 3 2" xfId="7267"/>
    <cellStyle name="Normal 2 2 3 2 3 3 2 2" xfId="13509"/>
    <cellStyle name="Normal 2 2 3 2 3 3 2 3" xfId="19664"/>
    <cellStyle name="Normal 2 2 3 2 3 3 2 4" xfId="25791"/>
    <cellStyle name="Normal 2 2 3 2 3 3 3" xfId="10422"/>
    <cellStyle name="Normal 2 2 3 2 3 3 4" xfId="16581"/>
    <cellStyle name="Normal 2 2 3 2 3 3 5" xfId="22709"/>
    <cellStyle name="Normal 2 2 3 2 3 4" xfId="5503"/>
    <cellStyle name="Normal 2 2 3 2 3 4 2" xfId="11745"/>
    <cellStyle name="Normal 2 2 3 2 3 4 3" xfId="17900"/>
    <cellStyle name="Normal 2 2 3 2 3 4 4" xfId="24027"/>
    <cellStyle name="Normal 2 2 3 2 3 5" xfId="8657"/>
    <cellStyle name="Normal 2 2 3 2 3 6" xfId="14807"/>
    <cellStyle name="Normal 2 2 3 2 3 7" xfId="20837"/>
    <cellStyle name="Normal 2 2 3 2 4" xfId="4172"/>
    <cellStyle name="Normal 2 2 3 2 4 2" xfId="7269"/>
    <cellStyle name="Normal 2 2 3 2 4 2 2" xfId="13511"/>
    <cellStyle name="Normal 2 2 3 2 4 2 3" xfId="19666"/>
    <cellStyle name="Normal 2 2 3 2 4 2 4" xfId="25793"/>
    <cellStyle name="Normal 2 2 3 2 4 3" xfId="10424"/>
    <cellStyle name="Normal 2 2 3 2 4 4" xfId="16583"/>
    <cellStyle name="Normal 2 2 3 2 4 5" xfId="22711"/>
    <cellStyle name="Normal 2 2 3 2 5" xfId="4167"/>
    <cellStyle name="Normal 2 2 3 2 5 2" xfId="7264"/>
    <cellStyle name="Normal 2 2 3 2 5 2 2" xfId="13506"/>
    <cellStyle name="Normal 2 2 3 2 5 2 3" xfId="19661"/>
    <cellStyle name="Normal 2 2 3 2 5 2 4" xfId="25788"/>
    <cellStyle name="Normal 2 2 3 2 5 3" xfId="10419"/>
    <cellStyle name="Normal 2 2 3 2 5 4" xfId="16578"/>
    <cellStyle name="Normal 2 2 3 2 5 5" xfId="22706"/>
    <cellStyle name="Normal 2 2 3 2 6" xfId="5183"/>
    <cellStyle name="Normal 2 2 3 2 6 2" xfId="11426"/>
    <cellStyle name="Normal 2 2 3 2 6 3" xfId="17581"/>
    <cellStyle name="Normal 2 2 3 2 6 4" xfId="23708"/>
    <cellStyle name="Normal 2 2 3 2 7" xfId="8341"/>
    <cellStyle name="Normal 2 2 3 2 8" xfId="14805"/>
    <cellStyle name="Normal 2 2 3 2 9" xfId="20523"/>
    <cellStyle name="Normal 2 2 3 3" xfId="1282"/>
    <cellStyle name="Normal 2 2 3 3 2" xfId="2441"/>
    <cellStyle name="Normal 2 2 3 3 2 2" xfId="4174"/>
    <cellStyle name="Normal 2 2 3 3 2 2 2" xfId="7271"/>
    <cellStyle name="Normal 2 2 3 3 2 2 2 2" xfId="13513"/>
    <cellStyle name="Normal 2 2 3 3 2 2 2 3" xfId="19668"/>
    <cellStyle name="Normal 2 2 3 3 2 2 2 4" xfId="25795"/>
    <cellStyle name="Normal 2 2 3 3 2 2 3" xfId="10426"/>
    <cellStyle name="Normal 2 2 3 3 2 2 4" xfId="16585"/>
    <cellStyle name="Normal 2 2 3 3 2 2 5" xfId="22713"/>
    <cellStyle name="Normal 2 2 3 3 2 3" xfId="4173"/>
    <cellStyle name="Normal 2 2 3 3 2 3 2" xfId="7270"/>
    <cellStyle name="Normal 2 2 3 3 2 3 2 2" xfId="13512"/>
    <cellStyle name="Normal 2 2 3 3 2 3 2 3" xfId="19667"/>
    <cellStyle name="Normal 2 2 3 3 2 3 2 4" xfId="25794"/>
    <cellStyle name="Normal 2 2 3 3 2 3 3" xfId="10425"/>
    <cellStyle name="Normal 2 2 3 3 2 3 4" xfId="16584"/>
    <cellStyle name="Normal 2 2 3 3 2 3 5" xfId="22712"/>
    <cellStyle name="Normal 2 2 3 3 2 4" xfId="5754"/>
    <cellStyle name="Normal 2 2 3 3 2 4 2" xfId="11996"/>
    <cellStyle name="Normal 2 2 3 3 2 4 3" xfId="18151"/>
    <cellStyle name="Normal 2 2 3 3 2 4 4" xfId="24278"/>
    <cellStyle name="Normal 2 2 3 3 2 5" xfId="8908"/>
    <cellStyle name="Normal 2 2 3 3 2 6" xfId="14808"/>
    <cellStyle name="Normal 2 2 3 3 2 7" xfId="21088"/>
    <cellStyle name="Normal 2 2 3 3 3" xfId="2269"/>
    <cellStyle name="Normal 2 2 3 3 3 2" xfId="4176"/>
    <cellStyle name="Normal 2 2 3 3 3 2 2" xfId="7273"/>
    <cellStyle name="Normal 2 2 3 3 3 2 2 2" xfId="13515"/>
    <cellStyle name="Normal 2 2 3 3 3 2 2 3" xfId="19670"/>
    <cellStyle name="Normal 2 2 3 3 3 2 2 4" xfId="25797"/>
    <cellStyle name="Normal 2 2 3 3 3 2 3" xfId="10428"/>
    <cellStyle name="Normal 2 2 3 3 3 2 4" xfId="16587"/>
    <cellStyle name="Normal 2 2 3 3 3 2 5" xfId="22715"/>
    <cellStyle name="Normal 2 2 3 3 3 3" xfId="4175"/>
    <cellStyle name="Normal 2 2 3 3 3 3 2" xfId="7272"/>
    <cellStyle name="Normal 2 2 3 3 3 3 2 2" xfId="13514"/>
    <cellStyle name="Normal 2 2 3 3 3 3 2 3" xfId="19669"/>
    <cellStyle name="Normal 2 2 3 3 3 3 2 4" xfId="25796"/>
    <cellStyle name="Normal 2 2 3 3 3 3 3" xfId="10427"/>
    <cellStyle name="Normal 2 2 3 3 3 3 4" xfId="16586"/>
    <cellStyle name="Normal 2 2 3 3 3 3 5" xfId="22714"/>
    <cellStyle name="Normal 2 2 3 3 3 4" xfId="5582"/>
    <cellStyle name="Normal 2 2 3 3 3 4 2" xfId="11824"/>
    <cellStyle name="Normal 2 2 3 3 3 4 3" xfId="17979"/>
    <cellStyle name="Normal 2 2 3 3 3 4 4" xfId="24106"/>
    <cellStyle name="Normal 2 2 3 3 3 5" xfId="8736"/>
    <cellStyle name="Normal 2 2 3 3 3 6" xfId="14809"/>
    <cellStyle name="Normal 2 2 3 3 3 7" xfId="20916"/>
    <cellStyle name="Normal 2 2 3 3 4" xfId="2056"/>
    <cellStyle name="Normal 2 2 3 3 4 2" xfId="4178"/>
    <cellStyle name="Normal 2 2 3 3 4 2 2" xfId="7275"/>
    <cellStyle name="Normal 2 2 3 3 4 2 2 2" xfId="13517"/>
    <cellStyle name="Normal 2 2 3 3 4 2 2 3" xfId="19672"/>
    <cellStyle name="Normal 2 2 3 3 4 2 2 4" xfId="25799"/>
    <cellStyle name="Normal 2 2 3 3 4 2 3" xfId="10430"/>
    <cellStyle name="Normal 2 2 3 3 4 2 4" xfId="16589"/>
    <cellStyle name="Normal 2 2 3 3 4 2 5" xfId="22717"/>
    <cellStyle name="Normal 2 2 3 3 4 3" xfId="4177"/>
    <cellStyle name="Normal 2 2 3 3 4 3 2" xfId="7274"/>
    <cellStyle name="Normal 2 2 3 3 4 3 2 2" xfId="13516"/>
    <cellStyle name="Normal 2 2 3 3 4 3 2 3" xfId="19671"/>
    <cellStyle name="Normal 2 2 3 3 4 3 2 4" xfId="25798"/>
    <cellStyle name="Normal 2 2 3 3 4 3 3" xfId="10429"/>
    <cellStyle name="Normal 2 2 3 3 4 3 4" xfId="16588"/>
    <cellStyle name="Normal 2 2 3 3 4 3 5" xfId="22716"/>
    <cellStyle name="Normal 2 2 3 3 4 4" xfId="5394"/>
    <cellStyle name="Normal 2 2 3 3 4 4 2" xfId="11636"/>
    <cellStyle name="Normal 2 2 3 3 4 4 3" xfId="17791"/>
    <cellStyle name="Normal 2 2 3 3 4 4 4" xfId="23918"/>
    <cellStyle name="Normal 2 2 3 3 4 5" xfId="8549"/>
    <cellStyle name="Normal 2 2 3 3 4 6" xfId="14810"/>
    <cellStyle name="Normal 2 2 3 3 4 7" xfId="20729"/>
    <cellStyle name="Normal 2 2 3 4" xfId="1612"/>
    <cellStyle name="Normal 2 2 3 4 2" xfId="2451"/>
    <cellStyle name="Normal 2 2 3 4 2 2" xfId="4180"/>
    <cellStyle name="Normal 2 2 3 4 2 2 2" xfId="7277"/>
    <cellStyle name="Normal 2 2 3 4 2 2 2 2" xfId="13519"/>
    <cellStyle name="Normal 2 2 3 4 2 2 2 3" xfId="19674"/>
    <cellStyle name="Normal 2 2 3 4 2 2 2 4" xfId="25801"/>
    <cellStyle name="Normal 2 2 3 4 2 2 3" xfId="10432"/>
    <cellStyle name="Normal 2 2 3 4 2 2 4" xfId="16591"/>
    <cellStyle name="Normal 2 2 3 4 2 2 5" xfId="22719"/>
    <cellStyle name="Normal 2 2 3 4 2 3" xfId="4179"/>
    <cellStyle name="Normal 2 2 3 4 2 3 2" xfId="7276"/>
    <cellStyle name="Normal 2 2 3 4 2 3 2 2" xfId="13518"/>
    <cellStyle name="Normal 2 2 3 4 2 3 2 3" xfId="19673"/>
    <cellStyle name="Normal 2 2 3 4 2 3 2 4" xfId="25800"/>
    <cellStyle name="Normal 2 2 3 4 2 3 3" xfId="10431"/>
    <cellStyle name="Normal 2 2 3 4 2 3 4" xfId="16590"/>
    <cellStyle name="Normal 2 2 3 4 2 3 5" xfId="22718"/>
    <cellStyle name="Normal 2 2 3 4 2 4" xfId="5764"/>
    <cellStyle name="Normal 2 2 3 4 2 4 2" xfId="12006"/>
    <cellStyle name="Normal 2 2 3 4 2 4 3" xfId="18161"/>
    <cellStyle name="Normal 2 2 3 4 2 4 4" xfId="24288"/>
    <cellStyle name="Normal 2 2 3 4 2 5" xfId="8918"/>
    <cellStyle name="Normal 2 2 3 4 2 6" xfId="14811"/>
    <cellStyle name="Normal 2 2 3 4 2 7" xfId="21098"/>
    <cellStyle name="Normal 2 2 3 4 3" xfId="2279"/>
    <cellStyle name="Normal 2 2 3 4 3 2" xfId="4182"/>
    <cellStyle name="Normal 2 2 3 4 3 2 2" xfId="7279"/>
    <cellStyle name="Normal 2 2 3 4 3 2 2 2" xfId="13521"/>
    <cellStyle name="Normal 2 2 3 4 3 2 2 3" xfId="19676"/>
    <cellStyle name="Normal 2 2 3 4 3 2 2 4" xfId="25803"/>
    <cellStyle name="Normal 2 2 3 4 3 2 3" xfId="10434"/>
    <cellStyle name="Normal 2 2 3 4 3 2 4" xfId="16593"/>
    <cellStyle name="Normal 2 2 3 4 3 2 5" xfId="22721"/>
    <cellStyle name="Normal 2 2 3 4 3 3" xfId="4181"/>
    <cellStyle name="Normal 2 2 3 4 3 3 2" xfId="7278"/>
    <cellStyle name="Normal 2 2 3 4 3 3 2 2" xfId="13520"/>
    <cellStyle name="Normal 2 2 3 4 3 3 2 3" xfId="19675"/>
    <cellStyle name="Normal 2 2 3 4 3 3 2 4" xfId="25802"/>
    <cellStyle name="Normal 2 2 3 4 3 3 3" xfId="10433"/>
    <cellStyle name="Normal 2 2 3 4 3 3 4" xfId="16592"/>
    <cellStyle name="Normal 2 2 3 4 3 3 5" xfId="22720"/>
    <cellStyle name="Normal 2 2 3 4 3 4" xfId="5592"/>
    <cellStyle name="Normal 2 2 3 4 3 4 2" xfId="11834"/>
    <cellStyle name="Normal 2 2 3 4 3 4 3" xfId="17989"/>
    <cellStyle name="Normal 2 2 3 4 3 4 4" xfId="24116"/>
    <cellStyle name="Normal 2 2 3 4 3 5" xfId="8746"/>
    <cellStyle name="Normal 2 2 3 4 3 6" xfId="14812"/>
    <cellStyle name="Normal 2 2 3 4 3 7" xfId="20926"/>
    <cellStyle name="Normal 2 2 3 4 4" xfId="2066"/>
    <cellStyle name="Normal 2 2 3 4 4 2" xfId="4184"/>
    <cellStyle name="Normal 2 2 3 4 4 2 2" xfId="7281"/>
    <cellStyle name="Normal 2 2 3 4 4 2 2 2" xfId="13523"/>
    <cellStyle name="Normal 2 2 3 4 4 2 2 3" xfId="19678"/>
    <cellStyle name="Normal 2 2 3 4 4 2 2 4" xfId="25805"/>
    <cellStyle name="Normal 2 2 3 4 4 2 3" xfId="10436"/>
    <cellStyle name="Normal 2 2 3 4 4 2 4" xfId="16595"/>
    <cellStyle name="Normal 2 2 3 4 4 2 5" xfId="22723"/>
    <cellStyle name="Normal 2 2 3 4 4 3" xfId="4183"/>
    <cellStyle name="Normal 2 2 3 4 4 3 2" xfId="7280"/>
    <cellStyle name="Normal 2 2 3 4 4 3 2 2" xfId="13522"/>
    <cellStyle name="Normal 2 2 3 4 4 3 2 3" xfId="19677"/>
    <cellStyle name="Normal 2 2 3 4 4 3 2 4" xfId="25804"/>
    <cellStyle name="Normal 2 2 3 4 4 3 3" xfId="10435"/>
    <cellStyle name="Normal 2 2 3 4 4 3 4" xfId="16594"/>
    <cellStyle name="Normal 2 2 3 4 4 3 5" xfId="22722"/>
    <cellStyle name="Normal 2 2 3 4 4 4" xfId="5404"/>
    <cellStyle name="Normal 2 2 3 4 4 4 2" xfId="11646"/>
    <cellStyle name="Normal 2 2 3 4 4 4 3" xfId="17801"/>
    <cellStyle name="Normal 2 2 3 4 4 4 4" xfId="23928"/>
    <cellStyle name="Normal 2 2 3 4 4 5" xfId="8559"/>
    <cellStyle name="Normal 2 2 3 4 4 6" xfId="14813"/>
    <cellStyle name="Normal 2 2 3 4 4 7" xfId="20739"/>
    <cellStyle name="Normal 2 2 3 5" xfId="2073"/>
    <cellStyle name="Normal 2 2 3 6" xfId="2098"/>
    <cellStyle name="Normal 2 2 3 6 2" xfId="2347"/>
    <cellStyle name="Normal 2 2 3 6 2 2" xfId="4187"/>
    <cellStyle name="Normal 2 2 3 6 2 2 2" xfId="7284"/>
    <cellStyle name="Normal 2 2 3 6 2 2 2 2" xfId="13526"/>
    <cellStyle name="Normal 2 2 3 6 2 2 2 3" xfId="19681"/>
    <cellStyle name="Normal 2 2 3 6 2 2 2 4" xfId="25808"/>
    <cellStyle name="Normal 2 2 3 6 2 2 3" xfId="10439"/>
    <cellStyle name="Normal 2 2 3 6 2 2 4" xfId="16598"/>
    <cellStyle name="Normal 2 2 3 6 2 2 5" xfId="22726"/>
    <cellStyle name="Normal 2 2 3 6 2 3" xfId="4186"/>
    <cellStyle name="Normal 2 2 3 6 2 3 2" xfId="7283"/>
    <cellStyle name="Normal 2 2 3 6 2 3 2 2" xfId="13525"/>
    <cellStyle name="Normal 2 2 3 6 2 3 2 3" xfId="19680"/>
    <cellStyle name="Normal 2 2 3 6 2 3 2 4" xfId="25807"/>
    <cellStyle name="Normal 2 2 3 6 2 3 3" xfId="10438"/>
    <cellStyle name="Normal 2 2 3 6 2 3 4" xfId="16597"/>
    <cellStyle name="Normal 2 2 3 6 2 3 5" xfId="22725"/>
    <cellStyle name="Normal 2 2 3 6 2 4" xfId="5660"/>
    <cellStyle name="Normal 2 2 3 6 2 4 2" xfId="11902"/>
    <cellStyle name="Normal 2 2 3 6 2 4 3" xfId="18057"/>
    <cellStyle name="Normal 2 2 3 6 2 4 4" xfId="24184"/>
    <cellStyle name="Normal 2 2 3 6 2 5" xfId="8814"/>
    <cellStyle name="Normal 2 2 3 6 2 6" xfId="14815"/>
    <cellStyle name="Normal 2 2 3 6 2 7" xfId="20994"/>
    <cellStyle name="Normal 2 2 3 6 3" xfId="4188"/>
    <cellStyle name="Normal 2 2 3 6 3 2" xfId="7285"/>
    <cellStyle name="Normal 2 2 3 6 3 2 2" xfId="13527"/>
    <cellStyle name="Normal 2 2 3 6 3 2 3" xfId="19682"/>
    <cellStyle name="Normal 2 2 3 6 3 2 4" xfId="25809"/>
    <cellStyle name="Normal 2 2 3 6 3 3" xfId="10440"/>
    <cellStyle name="Normal 2 2 3 6 3 4" xfId="16599"/>
    <cellStyle name="Normal 2 2 3 6 3 5" xfId="22727"/>
    <cellStyle name="Normal 2 2 3 6 4" xfId="4185"/>
    <cellStyle name="Normal 2 2 3 6 4 2" xfId="7282"/>
    <cellStyle name="Normal 2 2 3 6 4 2 2" xfId="13524"/>
    <cellStyle name="Normal 2 2 3 6 4 2 3" xfId="19679"/>
    <cellStyle name="Normal 2 2 3 6 4 2 4" xfId="25806"/>
    <cellStyle name="Normal 2 2 3 6 4 3" xfId="10437"/>
    <cellStyle name="Normal 2 2 3 6 4 4" xfId="16596"/>
    <cellStyle name="Normal 2 2 3 6 4 5" xfId="22724"/>
    <cellStyle name="Normal 2 2 3 6 5" xfId="5415"/>
    <cellStyle name="Normal 2 2 3 6 5 2" xfId="11657"/>
    <cellStyle name="Normal 2 2 3 6 5 3" xfId="17812"/>
    <cellStyle name="Normal 2 2 3 6 5 4" xfId="23939"/>
    <cellStyle name="Normal 2 2 3 6 6" xfId="8569"/>
    <cellStyle name="Normal 2 2 3 6 7" xfId="14814"/>
    <cellStyle name="Normal 2 2 3 6 8" xfId="20749"/>
    <cellStyle name="Normal 2 2 3 7" xfId="2114"/>
    <cellStyle name="Normal 2 2 3 7 2" xfId="4190"/>
    <cellStyle name="Normal 2 2 3 7 2 2" xfId="7287"/>
    <cellStyle name="Normal 2 2 3 7 2 2 2" xfId="13529"/>
    <cellStyle name="Normal 2 2 3 7 2 2 3" xfId="19684"/>
    <cellStyle name="Normal 2 2 3 7 2 2 4" xfId="25811"/>
    <cellStyle name="Normal 2 2 3 7 2 3" xfId="10442"/>
    <cellStyle name="Normal 2 2 3 7 2 4" xfId="16601"/>
    <cellStyle name="Normal 2 2 3 7 2 5" xfId="22729"/>
    <cellStyle name="Normal 2 2 3 7 3" xfId="4189"/>
    <cellStyle name="Normal 2 2 3 7 3 2" xfId="7286"/>
    <cellStyle name="Normal 2 2 3 7 3 2 2" xfId="13528"/>
    <cellStyle name="Normal 2 2 3 7 3 2 3" xfId="19683"/>
    <cellStyle name="Normal 2 2 3 7 3 2 4" xfId="25810"/>
    <cellStyle name="Normal 2 2 3 7 3 3" xfId="10441"/>
    <cellStyle name="Normal 2 2 3 7 3 4" xfId="16600"/>
    <cellStyle name="Normal 2 2 3 7 3 5" xfId="22728"/>
    <cellStyle name="Normal 2 2 3 7 4" xfId="5427"/>
    <cellStyle name="Normal 2 2 3 7 4 2" xfId="11669"/>
    <cellStyle name="Normal 2 2 3 7 4 3" xfId="17824"/>
    <cellStyle name="Normal 2 2 3 7 4 4" xfId="23951"/>
    <cellStyle name="Normal 2 2 3 7 5" xfId="8581"/>
    <cellStyle name="Normal 2 2 3 7 6" xfId="14816"/>
    <cellStyle name="Normal 2 2 3 7 7" xfId="20761"/>
    <cellStyle name="Normal 2 2 3 8" xfId="4191"/>
    <cellStyle name="Normal 2 2 3 8 2" xfId="7288"/>
    <cellStyle name="Normal 2 2 3 8 2 2" xfId="13530"/>
    <cellStyle name="Normal 2 2 3 8 2 3" xfId="19685"/>
    <cellStyle name="Normal 2 2 3 8 2 4" xfId="25812"/>
    <cellStyle name="Normal 2 2 3 8 3" xfId="10443"/>
    <cellStyle name="Normal 2 2 3 8 4" xfId="16602"/>
    <cellStyle name="Normal 2 2 3 8 5" xfId="22730"/>
    <cellStyle name="Normal 2 2 3 9" xfId="4192"/>
    <cellStyle name="Normal 2 2 3 9 2" xfId="7289"/>
    <cellStyle name="Normal 2 2 3 9 2 2" xfId="13531"/>
    <cellStyle name="Normal 2 2 3 9 2 3" xfId="19686"/>
    <cellStyle name="Normal 2 2 3 9 2 4" xfId="25813"/>
    <cellStyle name="Normal 2 2 3 9 3" xfId="10444"/>
    <cellStyle name="Normal 2 2 3 9 4" xfId="16603"/>
    <cellStyle name="Normal 2 2 3 9 5" xfId="22731"/>
    <cellStyle name="Normal 2 2 4" xfId="1095"/>
    <cellStyle name="Normal 2 2 4 2" xfId="1258"/>
    <cellStyle name="Normal 2 2 4 2 2" xfId="2364"/>
    <cellStyle name="Normal 2 2 4 2 2 2" xfId="4194"/>
    <cellStyle name="Normal 2 2 4 2 2 2 2" xfId="7291"/>
    <cellStyle name="Normal 2 2 4 2 2 2 2 2" xfId="13533"/>
    <cellStyle name="Normal 2 2 4 2 2 2 2 3" xfId="19688"/>
    <cellStyle name="Normal 2 2 4 2 2 2 2 4" xfId="25815"/>
    <cellStyle name="Normal 2 2 4 2 2 2 3" xfId="10446"/>
    <cellStyle name="Normal 2 2 4 2 2 2 4" xfId="16605"/>
    <cellStyle name="Normal 2 2 4 2 2 2 5" xfId="22733"/>
    <cellStyle name="Normal 2 2 4 2 2 3" xfId="4193"/>
    <cellStyle name="Normal 2 2 4 2 2 3 2" xfId="7290"/>
    <cellStyle name="Normal 2 2 4 2 2 3 2 2" xfId="13532"/>
    <cellStyle name="Normal 2 2 4 2 2 3 2 3" xfId="19687"/>
    <cellStyle name="Normal 2 2 4 2 2 3 2 4" xfId="25814"/>
    <cellStyle name="Normal 2 2 4 2 2 3 3" xfId="10445"/>
    <cellStyle name="Normal 2 2 4 2 2 3 4" xfId="16604"/>
    <cellStyle name="Normal 2 2 4 2 2 3 5" xfId="22732"/>
    <cellStyle name="Normal 2 2 4 2 2 4" xfId="5677"/>
    <cellStyle name="Normal 2 2 4 2 2 4 2" xfId="11919"/>
    <cellStyle name="Normal 2 2 4 2 2 4 3" xfId="18074"/>
    <cellStyle name="Normal 2 2 4 2 2 4 4" xfId="24201"/>
    <cellStyle name="Normal 2 2 4 2 2 5" xfId="8831"/>
    <cellStyle name="Normal 2 2 4 2 2 6" xfId="14817"/>
    <cellStyle name="Normal 2 2 4 2 2 7" xfId="21011"/>
    <cellStyle name="Normal 2 2 4 3" xfId="1279"/>
    <cellStyle name="Normal 2 2 4 3 2" xfId="4196"/>
    <cellStyle name="Normal 2 2 4 3 2 2" xfId="7293"/>
    <cellStyle name="Normal 2 2 4 3 2 2 2" xfId="13535"/>
    <cellStyle name="Normal 2 2 4 3 2 2 3" xfId="19690"/>
    <cellStyle name="Normal 2 2 4 3 2 2 4" xfId="25817"/>
    <cellStyle name="Normal 2 2 4 3 2 3" xfId="10448"/>
    <cellStyle name="Normal 2 2 4 3 2 4" xfId="16607"/>
    <cellStyle name="Normal 2 2 4 3 2 5" xfId="22735"/>
    <cellStyle name="Normal 2 2 4 3 3" xfId="4195"/>
    <cellStyle name="Normal 2 2 4 3 3 2" xfId="7292"/>
    <cellStyle name="Normal 2 2 4 3 3 2 2" xfId="13534"/>
    <cellStyle name="Normal 2 2 4 3 3 2 3" xfId="19689"/>
    <cellStyle name="Normal 2 2 4 3 3 2 4" xfId="25816"/>
    <cellStyle name="Normal 2 2 4 3 3 3" xfId="10447"/>
    <cellStyle name="Normal 2 2 4 3 3 4" xfId="16606"/>
    <cellStyle name="Normal 2 2 4 3 3 5" xfId="22734"/>
    <cellStyle name="Normal 2 2 4 3 4" xfId="5214"/>
    <cellStyle name="Normal 2 2 4 3 4 2" xfId="11456"/>
    <cellStyle name="Normal 2 2 4 3 4 3" xfId="17611"/>
    <cellStyle name="Normal 2 2 4 3 4 4" xfId="23738"/>
    <cellStyle name="Normal 2 2 4 3 5" xfId="8370"/>
    <cellStyle name="Normal 2 2 4 3 6" xfId="14818"/>
    <cellStyle name="Normal 2 2 4 3 7" xfId="20552"/>
    <cellStyle name="Normal 2 2 4 4" xfId="4197"/>
    <cellStyle name="Normal 2 2 4 4 2" xfId="7294"/>
    <cellStyle name="Normal 2 2 4 4 2 2" xfId="13536"/>
    <cellStyle name="Normal 2 2 4 4 2 3" xfId="19691"/>
    <cellStyle name="Normal 2 2 4 4 2 4" xfId="25818"/>
    <cellStyle name="Normal 2 2 4 4 3" xfId="10449"/>
    <cellStyle name="Normal 2 2 4 4 4" xfId="16608"/>
    <cellStyle name="Normal 2 2 4 4 5" xfId="22736"/>
    <cellStyle name="Normal 2 2 5" xfId="1224"/>
    <cellStyle name="Normal 2 2 5 2" xfId="2440"/>
    <cellStyle name="Normal 2 2 5 2 2" xfId="4199"/>
    <cellStyle name="Normal 2 2 5 2 2 2" xfId="7296"/>
    <cellStyle name="Normal 2 2 5 2 2 2 2" xfId="13538"/>
    <cellStyle name="Normal 2 2 5 2 2 2 3" xfId="19693"/>
    <cellStyle name="Normal 2 2 5 2 2 2 4" xfId="25820"/>
    <cellStyle name="Normal 2 2 5 2 2 3" xfId="10451"/>
    <cellStyle name="Normal 2 2 5 2 2 4" xfId="16610"/>
    <cellStyle name="Normal 2 2 5 2 2 5" xfId="22738"/>
    <cellStyle name="Normal 2 2 5 2 3" xfId="4198"/>
    <cellStyle name="Normal 2 2 5 2 3 2" xfId="7295"/>
    <cellStyle name="Normal 2 2 5 2 3 2 2" xfId="13537"/>
    <cellStyle name="Normal 2 2 5 2 3 2 3" xfId="19692"/>
    <cellStyle name="Normal 2 2 5 2 3 2 4" xfId="25819"/>
    <cellStyle name="Normal 2 2 5 2 3 3" xfId="10450"/>
    <cellStyle name="Normal 2 2 5 2 3 4" xfId="16609"/>
    <cellStyle name="Normal 2 2 5 2 3 5" xfId="22737"/>
    <cellStyle name="Normal 2 2 5 2 4" xfId="5753"/>
    <cellStyle name="Normal 2 2 5 2 4 2" xfId="11995"/>
    <cellStyle name="Normal 2 2 5 2 4 3" xfId="18150"/>
    <cellStyle name="Normal 2 2 5 2 4 4" xfId="24277"/>
    <cellStyle name="Normal 2 2 5 2 5" xfId="8907"/>
    <cellStyle name="Normal 2 2 5 2 6" xfId="14819"/>
    <cellStyle name="Normal 2 2 5 2 7" xfId="21087"/>
    <cellStyle name="Normal 2 2 5 3" xfId="2268"/>
    <cellStyle name="Normal 2 2 5 3 2" xfId="4201"/>
    <cellStyle name="Normal 2 2 5 3 2 2" xfId="7298"/>
    <cellStyle name="Normal 2 2 5 3 2 2 2" xfId="13540"/>
    <cellStyle name="Normal 2 2 5 3 2 2 3" xfId="19695"/>
    <cellStyle name="Normal 2 2 5 3 2 2 4" xfId="25822"/>
    <cellStyle name="Normal 2 2 5 3 2 3" xfId="10453"/>
    <cellStyle name="Normal 2 2 5 3 2 4" xfId="16612"/>
    <cellStyle name="Normal 2 2 5 3 2 5" xfId="22740"/>
    <cellStyle name="Normal 2 2 5 3 3" xfId="4200"/>
    <cellStyle name="Normal 2 2 5 3 3 2" xfId="7297"/>
    <cellStyle name="Normal 2 2 5 3 3 2 2" xfId="13539"/>
    <cellStyle name="Normal 2 2 5 3 3 2 3" xfId="19694"/>
    <cellStyle name="Normal 2 2 5 3 3 2 4" xfId="25821"/>
    <cellStyle name="Normal 2 2 5 3 3 3" xfId="10452"/>
    <cellStyle name="Normal 2 2 5 3 3 4" xfId="16611"/>
    <cellStyle name="Normal 2 2 5 3 3 5" xfId="22739"/>
    <cellStyle name="Normal 2 2 5 3 4" xfId="5581"/>
    <cellStyle name="Normal 2 2 5 3 4 2" xfId="11823"/>
    <cellStyle name="Normal 2 2 5 3 4 3" xfId="17978"/>
    <cellStyle name="Normal 2 2 5 3 4 4" xfId="24105"/>
    <cellStyle name="Normal 2 2 5 3 5" xfId="8735"/>
    <cellStyle name="Normal 2 2 5 3 6" xfId="14820"/>
    <cellStyle name="Normal 2 2 5 3 7" xfId="20915"/>
    <cellStyle name="Normal 2 2 5 4" xfId="2055"/>
    <cellStyle name="Normal 2 2 5 4 2" xfId="4203"/>
    <cellStyle name="Normal 2 2 5 4 2 2" xfId="7300"/>
    <cellStyle name="Normal 2 2 5 4 2 2 2" xfId="13542"/>
    <cellStyle name="Normal 2 2 5 4 2 2 3" xfId="19697"/>
    <cellStyle name="Normal 2 2 5 4 2 2 4" xfId="25824"/>
    <cellStyle name="Normal 2 2 5 4 2 3" xfId="10455"/>
    <cellStyle name="Normal 2 2 5 4 2 4" xfId="16614"/>
    <cellStyle name="Normal 2 2 5 4 2 5" xfId="22742"/>
    <cellStyle name="Normal 2 2 5 4 3" xfId="4202"/>
    <cellStyle name="Normal 2 2 5 4 3 2" xfId="7299"/>
    <cellStyle name="Normal 2 2 5 4 3 2 2" xfId="13541"/>
    <cellStyle name="Normal 2 2 5 4 3 2 3" xfId="19696"/>
    <cellStyle name="Normal 2 2 5 4 3 2 4" xfId="25823"/>
    <cellStyle name="Normal 2 2 5 4 3 3" xfId="10454"/>
    <cellStyle name="Normal 2 2 5 4 3 4" xfId="16613"/>
    <cellStyle name="Normal 2 2 5 4 3 5" xfId="22741"/>
    <cellStyle name="Normal 2 2 5 4 4" xfId="5393"/>
    <cellStyle name="Normal 2 2 5 4 4 2" xfId="11635"/>
    <cellStyle name="Normal 2 2 5 4 4 3" xfId="17790"/>
    <cellStyle name="Normal 2 2 5 4 4 4" xfId="23917"/>
    <cellStyle name="Normal 2 2 5 4 5" xfId="8548"/>
    <cellStyle name="Normal 2 2 5 4 6" xfId="14821"/>
    <cellStyle name="Normal 2 2 5 4 7" xfId="20728"/>
    <cellStyle name="Normal 2 2 6" xfId="751"/>
    <cellStyle name="Normal 2 2 6 2" xfId="2450"/>
    <cellStyle name="Normal 2 2 6 2 2" xfId="4205"/>
    <cellStyle name="Normal 2 2 6 2 2 2" xfId="7302"/>
    <cellStyle name="Normal 2 2 6 2 2 2 2" xfId="13544"/>
    <cellStyle name="Normal 2 2 6 2 2 2 3" xfId="19699"/>
    <cellStyle name="Normal 2 2 6 2 2 2 4" xfId="25826"/>
    <cellStyle name="Normal 2 2 6 2 2 3" xfId="10457"/>
    <cellStyle name="Normal 2 2 6 2 2 4" xfId="16616"/>
    <cellStyle name="Normal 2 2 6 2 2 5" xfId="22744"/>
    <cellStyle name="Normal 2 2 6 2 3" xfId="4204"/>
    <cellStyle name="Normal 2 2 6 2 3 2" xfId="7301"/>
    <cellStyle name="Normal 2 2 6 2 3 2 2" xfId="13543"/>
    <cellStyle name="Normal 2 2 6 2 3 2 3" xfId="19698"/>
    <cellStyle name="Normal 2 2 6 2 3 2 4" xfId="25825"/>
    <cellStyle name="Normal 2 2 6 2 3 3" xfId="10456"/>
    <cellStyle name="Normal 2 2 6 2 3 4" xfId="16615"/>
    <cellStyle name="Normal 2 2 6 2 3 5" xfId="22743"/>
    <cellStyle name="Normal 2 2 6 2 4" xfId="5763"/>
    <cellStyle name="Normal 2 2 6 2 4 2" xfId="12005"/>
    <cellStyle name="Normal 2 2 6 2 4 3" xfId="18160"/>
    <cellStyle name="Normal 2 2 6 2 4 4" xfId="24287"/>
    <cellStyle name="Normal 2 2 6 2 5" xfId="8917"/>
    <cellStyle name="Normal 2 2 6 2 6" xfId="14822"/>
    <cellStyle name="Normal 2 2 6 2 7" xfId="21097"/>
    <cellStyle name="Normal 2 2 6 3" xfId="2278"/>
    <cellStyle name="Normal 2 2 6 3 2" xfId="4207"/>
    <cellStyle name="Normal 2 2 6 3 2 2" xfId="7304"/>
    <cellStyle name="Normal 2 2 6 3 2 2 2" xfId="13546"/>
    <cellStyle name="Normal 2 2 6 3 2 2 3" xfId="19701"/>
    <cellStyle name="Normal 2 2 6 3 2 2 4" xfId="25828"/>
    <cellStyle name="Normal 2 2 6 3 2 3" xfId="10459"/>
    <cellStyle name="Normal 2 2 6 3 2 4" xfId="16618"/>
    <cellStyle name="Normal 2 2 6 3 2 5" xfId="22746"/>
    <cellStyle name="Normal 2 2 6 3 3" xfId="4206"/>
    <cellStyle name="Normal 2 2 6 3 3 2" xfId="7303"/>
    <cellStyle name="Normal 2 2 6 3 3 2 2" xfId="13545"/>
    <cellStyle name="Normal 2 2 6 3 3 2 3" xfId="19700"/>
    <cellStyle name="Normal 2 2 6 3 3 2 4" xfId="25827"/>
    <cellStyle name="Normal 2 2 6 3 3 3" xfId="10458"/>
    <cellStyle name="Normal 2 2 6 3 3 4" xfId="16617"/>
    <cellStyle name="Normal 2 2 6 3 3 5" xfId="22745"/>
    <cellStyle name="Normal 2 2 6 3 4" xfId="5591"/>
    <cellStyle name="Normal 2 2 6 3 4 2" xfId="11833"/>
    <cellStyle name="Normal 2 2 6 3 4 3" xfId="17988"/>
    <cellStyle name="Normal 2 2 6 3 4 4" xfId="24115"/>
    <cellStyle name="Normal 2 2 6 3 5" xfId="8745"/>
    <cellStyle name="Normal 2 2 6 3 6" xfId="14823"/>
    <cellStyle name="Normal 2 2 6 3 7" xfId="20925"/>
    <cellStyle name="Normal 2 2 6 4" xfId="2065"/>
    <cellStyle name="Normal 2 2 6 4 2" xfId="4209"/>
    <cellStyle name="Normal 2 2 6 4 2 2" xfId="7306"/>
    <cellStyle name="Normal 2 2 6 4 2 2 2" xfId="13548"/>
    <cellStyle name="Normal 2 2 6 4 2 2 3" xfId="19703"/>
    <cellStyle name="Normal 2 2 6 4 2 2 4" xfId="25830"/>
    <cellStyle name="Normal 2 2 6 4 2 3" xfId="10461"/>
    <cellStyle name="Normal 2 2 6 4 2 4" xfId="16620"/>
    <cellStyle name="Normal 2 2 6 4 2 5" xfId="22748"/>
    <cellStyle name="Normal 2 2 6 4 3" xfId="4208"/>
    <cellStyle name="Normal 2 2 6 4 3 2" xfId="7305"/>
    <cellStyle name="Normal 2 2 6 4 3 2 2" xfId="13547"/>
    <cellStyle name="Normal 2 2 6 4 3 2 3" xfId="19702"/>
    <cellStyle name="Normal 2 2 6 4 3 2 4" xfId="25829"/>
    <cellStyle name="Normal 2 2 6 4 3 3" xfId="10460"/>
    <cellStyle name="Normal 2 2 6 4 3 4" xfId="16619"/>
    <cellStyle name="Normal 2 2 6 4 3 5" xfId="22747"/>
    <cellStyle name="Normal 2 2 6 4 4" xfId="5403"/>
    <cellStyle name="Normal 2 2 6 4 4 2" xfId="11645"/>
    <cellStyle name="Normal 2 2 6 4 4 3" xfId="17800"/>
    <cellStyle name="Normal 2 2 6 4 4 4" xfId="23927"/>
    <cellStyle name="Normal 2 2 6 4 5" xfId="8558"/>
    <cellStyle name="Normal 2 2 6 4 6" xfId="14824"/>
    <cellStyle name="Normal 2 2 6 4 7" xfId="20738"/>
    <cellStyle name="Normal 2 2 7" xfId="1338"/>
    <cellStyle name="Normal 2 2 7 2" xfId="2072"/>
    <cellStyle name="Normal 2 2 8" xfId="1470"/>
    <cellStyle name="Normal 2 2 8 2" xfId="2346"/>
    <cellStyle name="Normal 2 2 8 2 2" xfId="4212"/>
    <cellStyle name="Normal 2 2 8 2 2 2" xfId="7309"/>
    <cellStyle name="Normal 2 2 8 2 2 2 2" xfId="13551"/>
    <cellStyle name="Normal 2 2 8 2 2 2 3" xfId="19706"/>
    <cellStyle name="Normal 2 2 8 2 2 2 4" xfId="25833"/>
    <cellStyle name="Normal 2 2 8 2 2 3" xfId="10464"/>
    <cellStyle name="Normal 2 2 8 2 2 4" xfId="16623"/>
    <cellStyle name="Normal 2 2 8 2 2 5" xfId="22751"/>
    <cellStyle name="Normal 2 2 8 2 3" xfId="4211"/>
    <cellStyle name="Normal 2 2 8 2 3 2" xfId="7308"/>
    <cellStyle name="Normal 2 2 8 2 3 2 2" xfId="13550"/>
    <cellStyle name="Normal 2 2 8 2 3 2 3" xfId="19705"/>
    <cellStyle name="Normal 2 2 8 2 3 2 4" xfId="25832"/>
    <cellStyle name="Normal 2 2 8 2 3 3" xfId="10463"/>
    <cellStyle name="Normal 2 2 8 2 3 4" xfId="16622"/>
    <cellStyle name="Normal 2 2 8 2 3 5" xfId="22750"/>
    <cellStyle name="Normal 2 2 8 2 4" xfId="5659"/>
    <cellStyle name="Normal 2 2 8 2 4 2" xfId="11901"/>
    <cellStyle name="Normal 2 2 8 2 4 3" xfId="18056"/>
    <cellStyle name="Normal 2 2 8 2 4 4" xfId="24183"/>
    <cellStyle name="Normal 2 2 8 2 5" xfId="8813"/>
    <cellStyle name="Normal 2 2 8 2 6" xfId="14826"/>
    <cellStyle name="Normal 2 2 8 2 7" xfId="20993"/>
    <cellStyle name="Normal 2 2 8 3" xfId="2097"/>
    <cellStyle name="Normal 2 2 8 3 2" xfId="4214"/>
    <cellStyle name="Normal 2 2 8 3 2 2" xfId="7311"/>
    <cellStyle name="Normal 2 2 8 3 2 2 2" xfId="13553"/>
    <cellStyle name="Normal 2 2 8 3 2 2 3" xfId="19708"/>
    <cellStyle name="Normal 2 2 8 3 2 2 4" xfId="25835"/>
    <cellStyle name="Normal 2 2 8 3 2 3" xfId="10466"/>
    <cellStyle name="Normal 2 2 8 3 2 4" xfId="16625"/>
    <cellStyle name="Normal 2 2 8 3 2 5" xfId="22753"/>
    <cellStyle name="Normal 2 2 8 3 3" xfId="4213"/>
    <cellStyle name="Normal 2 2 8 3 3 2" xfId="7310"/>
    <cellStyle name="Normal 2 2 8 3 3 2 2" xfId="13552"/>
    <cellStyle name="Normal 2 2 8 3 3 2 3" xfId="19707"/>
    <cellStyle name="Normal 2 2 8 3 3 2 4" xfId="25834"/>
    <cellStyle name="Normal 2 2 8 3 3 3" xfId="10465"/>
    <cellStyle name="Normal 2 2 8 3 3 4" xfId="16624"/>
    <cellStyle name="Normal 2 2 8 3 3 5" xfId="22752"/>
    <cellStyle name="Normal 2 2 8 3 4" xfId="5414"/>
    <cellStyle name="Normal 2 2 8 3 4 2" xfId="11656"/>
    <cellStyle name="Normal 2 2 8 3 4 3" xfId="17811"/>
    <cellStyle name="Normal 2 2 8 3 4 4" xfId="23938"/>
    <cellStyle name="Normal 2 2 8 3 5" xfId="8568"/>
    <cellStyle name="Normal 2 2 8 3 6" xfId="14827"/>
    <cellStyle name="Normal 2 2 8 3 7" xfId="20748"/>
    <cellStyle name="Normal 2 2 8 4" xfId="4215"/>
    <cellStyle name="Normal 2 2 8 4 2" xfId="7312"/>
    <cellStyle name="Normal 2 2 8 4 2 2" xfId="13554"/>
    <cellStyle name="Normal 2 2 8 4 2 3" xfId="19709"/>
    <cellStyle name="Normal 2 2 8 4 2 4" xfId="25836"/>
    <cellStyle name="Normal 2 2 8 4 3" xfId="10467"/>
    <cellStyle name="Normal 2 2 8 4 4" xfId="16626"/>
    <cellStyle name="Normal 2 2 8 4 5" xfId="22754"/>
    <cellStyle name="Normal 2 2 8 5" xfId="4210"/>
    <cellStyle name="Normal 2 2 8 5 2" xfId="7307"/>
    <cellStyle name="Normal 2 2 8 5 2 2" xfId="13549"/>
    <cellStyle name="Normal 2 2 8 5 2 3" xfId="19704"/>
    <cellStyle name="Normal 2 2 8 5 2 4" xfId="25831"/>
    <cellStyle name="Normal 2 2 8 5 3" xfId="10462"/>
    <cellStyle name="Normal 2 2 8 5 4" xfId="16621"/>
    <cellStyle name="Normal 2 2 8 5 5" xfId="22749"/>
    <cellStyle name="Normal 2 2 8 6" xfId="5240"/>
    <cellStyle name="Normal 2 2 8 6 2" xfId="11482"/>
    <cellStyle name="Normal 2 2 8 6 3" xfId="17637"/>
    <cellStyle name="Normal 2 2 8 6 4" xfId="23764"/>
    <cellStyle name="Normal 2 2 8 7" xfId="8396"/>
    <cellStyle name="Normal 2 2 8 8" xfId="14825"/>
    <cellStyle name="Normal 2 2 8 9" xfId="20578"/>
    <cellStyle name="Normal 2 2 9" xfId="2113"/>
    <cellStyle name="Normal 2 2 9 2" xfId="4217"/>
    <cellStyle name="Normal 2 2 9 2 2" xfId="7314"/>
    <cellStyle name="Normal 2 2 9 2 2 2" xfId="13556"/>
    <cellStyle name="Normal 2 2 9 2 2 3" xfId="19711"/>
    <cellStyle name="Normal 2 2 9 2 2 4" xfId="25838"/>
    <cellStyle name="Normal 2 2 9 2 3" xfId="10469"/>
    <cellStyle name="Normal 2 2 9 2 4" xfId="16628"/>
    <cellStyle name="Normal 2 2 9 2 5" xfId="22756"/>
    <cellStyle name="Normal 2 2 9 3" xfId="4216"/>
    <cellStyle name="Normal 2 2 9 3 2" xfId="7313"/>
    <cellStyle name="Normal 2 2 9 3 2 2" xfId="13555"/>
    <cellStyle name="Normal 2 2 9 3 2 3" xfId="19710"/>
    <cellStyle name="Normal 2 2 9 3 2 4" xfId="25837"/>
    <cellStyle name="Normal 2 2 9 3 3" xfId="10468"/>
    <cellStyle name="Normal 2 2 9 3 4" xfId="16627"/>
    <cellStyle name="Normal 2 2 9 3 5" xfId="22755"/>
    <cellStyle name="Normal 2 2 9 4" xfId="5426"/>
    <cellStyle name="Normal 2 2 9 4 2" xfId="11668"/>
    <cellStyle name="Normal 2 2 9 4 3" xfId="17823"/>
    <cellStyle name="Normal 2 2 9 4 4" xfId="23950"/>
    <cellStyle name="Normal 2 2 9 5" xfId="8580"/>
    <cellStyle name="Normal 2 2 9 6" xfId="14828"/>
    <cellStyle name="Normal 2 2 9 7" xfId="20760"/>
    <cellStyle name="Normal 2 20" xfId="4147"/>
    <cellStyle name="Normal 2 20 2" xfId="7246"/>
    <cellStyle name="Normal 2 20 2 2" xfId="13488"/>
    <cellStyle name="Normal 2 20 2 3" xfId="19643"/>
    <cellStyle name="Normal 2 20 2 4" xfId="25770"/>
    <cellStyle name="Normal 2 20 3" xfId="10401"/>
    <cellStyle name="Normal 2 20 4" xfId="16560"/>
    <cellStyle name="Normal 2 20 5" xfId="22688"/>
    <cellStyle name="Normal 2 21" xfId="4950"/>
    <cellStyle name="Normal 2 21 2" xfId="11194"/>
    <cellStyle name="Normal 2 21 3" xfId="17349"/>
    <cellStyle name="Normal 2 21 4" xfId="23476"/>
    <cellStyle name="Normal 2 22" xfId="8108"/>
    <cellStyle name="Normal 2 23" xfId="14799"/>
    <cellStyle name="Normal 2 24" xfId="20388"/>
    <cellStyle name="Normal 2 3" xfId="178"/>
    <cellStyle name="Normal 2 3 2" xfId="857"/>
    <cellStyle name="Normal 2 3 2 2" xfId="1524"/>
    <cellStyle name="Normal 2 3 2 2 2" xfId="4219"/>
    <cellStyle name="Normal 2 3 2 2 2 2" xfId="7316"/>
    <cellStyle name="Normal 2 3 2 2 2 2 2" xfId="13558"/>
    <cellStyle name="Normal 2 3 2 2 2 2 3" xfId="19713"/>
    <cellStyle name="Normal 2 3 2 2 2 2 4" xfId="25840"/>
    <cellStyle name="Normal 2 3 2 2 2 3" xfId="10471"/>
    <cellStyle name="Normal 2 3 2 2 2 4" xfId="16630"/>
    <cellStyle name="Normal 2 3 2 2 2 5" xfId="22758"/>
    <cellStyle name="Normal 2 3 2 2 3" xfId="4218"/>
    <cellStyle name="Normal 2 3 2 2 3 2" xfId="7315"/>
    <cellStyle name="Normal 2 3 2 2 3 2 2" xfId="13557"/>
    <cellStyle name="Normal 2 3 2 2 3 2 3" xfId="19712"/>
    <cellStyle name="Normal 2 3 2 2 3 2 4" xfId="25839"/>
    <cellStyle name="Normal 2 3 2 2 3 3" xfId="10470"/>
    <cellStyle name="Normal 2 3 2 2 3 4" xfId="16629"/>
    <cellStyle name="Normal 2 3 2 2 3 5" xfId="22757"/>
    <cellStyle name="Normal 2 3 2 2 4" xfId="5247"/>
    <cellStyle name="Normal 2 3 2 2 4 2" xfId="11489"/>
    <cellStyle name="Normal 2 3 2 2 4 3" xfId="17644"/>
    <cellStyle name="Normal 2 3 2 2 4 4" xfId="23771"/>
    <cellStyle name="Normal 2 3 2 2 5" xfId="8403"/>
    <cellStyle name="Normal 2 3 2 2 6" xfId="14829"/>
    <cellStyle name="Normal 2 3 2 2 7" xfId="20585"/>
    <cellStyle name="Normal 2 3 2 3" xfId="1971"/>
    <cellStyle name="Normal 2 3 3" xfId="1150"/>
    <cellStyle name="Normal 2 3 3 2" xfId="1708"/>
    <cellStyle name="Normal 2 3 4" xfId="816"/>
    <cellStyle name="Normal 2 3 4 2" xfId="1493"/>
    <cellStyle name="Normal 2 3 4 3" xfId="4221"/>
    <cellStyle name="Normal 2 3 4 3 2" xfId="7318"/>
    <cellStyle name="Normal 2 3 4 3 2 2" xfId="13560"/>
    <cellStyle name="Normal 2 3 4 3 2 3" xfId="19715"/>
    <cellStyle name="Normal 2 3 4 3 2 4" xfId="25842"/>
    <cellStyle name="Normal 2 3 4 3 3" xfId="10473"/>
    <cellStyle name="Normal 2 3 4 3 4" xfId="16632"/>
    <cellStyle name="Normal 2 3 4 3 5" xfId="22760"/>
    <cellStyle name="Normal 2 3 4 4" xfId="4220"/>
    <cellStyle name="Normal 2 3 4 4 2" xfId="7317"/>
    <cellStyle name="Normal 2 3 4 4 2 2" xfId="13559"/>
    <cellStyle name="Normal 2 3 4 4 2 3" xfId="19714"/>
    <cellStyle name="Normal 2 3 4 4 2 4" xfId="25841"/>
    <cellStyle name="Normal 2 3 4 4 3" xfId="10472"/>
    <cellStyle name="Normal 2 3 4 4 4" xfId="16631"/>
    <cellStyle name="Normal 2 3 4 4 5" xfId="22759"/>
    <cellStyle name="Normal 2 3 4 5" xfId="5165"/>
    <cellStyle name="Normal 2 3 4 5 2" xfId="11408"/>
    <cellStyle name="Normal 2 3 4 5 3" xfId="17563"/>
    <cellStyle name="Normal 2 3 4 5 4" xfId="23690"/>
    <cellStyle name="Normal 2 3 4 6" xfId="8322"/>
    <cellStyle name="Normal 2 3 4 7" xfId="14830"/>
    <cellStyle name="Normal 2 3 4 8" xfId="20505"/>
    <cellStyle name="Normal 2 3 5" xfId="1340"/>
    <cellStyle name="Normal 2 3 5 2" xfId="4223"/>
    <cellStyle name="Normal 2 3 5 2 2" xfId="7320"/>
    <cellStyle name="Normal 2 3 5 2 2 2" xfId="13562"/>
    <cellStyle name="Normal 2 3 5 2 2 3" xfId="19717"/>
    <cellStyle name="Normal 2 3 5 2 2 4" xfId="25844"/>
    <cellStyle name="Normal 2 3 5 2 3" xfId="10475"/>
    <cellStyle name="Normal 2 3 5 2 4" xfId="16634"/>
    <cellStyle name="Normal 2 3 5 2 5" xfId="22762"/>
    <cellStyle name="Normal 2 3 5 3" xfId="4222"/>
    <cellStyle name="Normal 2 3 5 3 2" xfId="7319"/>
    <cellStyle name="Normal 2 3 5 3 2 2" xfId="13561"/>
    <cellStyle name="Normal 2 3 5 3 2 3" xfId="19716"/>
    <cellStyle name="Normal 2 3 5 3 2 4" xfId="25843"/>
    <cellStyle name="Normal 2 3 5 3 3" xfId="10474"/>
    <cellStyle name="Normal 2 3 5 3 4" xfId="16633"/>
    <cellStyle name="Normal 2 3 5 3 5" xfId="22761"/>
    <cellStyle name="Normal 2 3 5 4" xfId="5226"/>
    <cellStyle name="Normal 2 3 5 4 2" xfId="11468"/>
    <cellStyle name="Normal 2 3 5 4 3" xfId="17623"/>
    <cellStyle name="Normal 2 3 5 4 4" xfId="23750"/>
    <cellStyle name="Normal 2 3 5 5" xfId="8382"/>
    <cellStyle name="Normal 2 3 5 6" xfId="14831"/>
    <cellStyle name="Normal 2 3 5 7" xfId="20564"/>
    <cellStyle name="Normal 2 3 6" xfId="1768"/>
    <cellStyle name="Normal 2 3 7" xfId="2526"/>
    <cellStyle name="Normal 2 3 8" xfId="390"/>
    <cellStyle name="Normal 2 3 9" xfId="275"/>
    <cellStyle name="Normal 2 4" xfId="289"/>
    <cellStyle name="Normal 2 4 2" xfId="392"/>
    <cellStyle name="Normal 2 4 2 2" xfId="1525"/>
    <cellStyle name="Normal 2 4 2 2 2" xfId="4226"/>
    <cellStyle name="Normal 2 4 2 2 2 2" xfId="7323"/>
    <cellStyle name="Normal 2 4 2 2 2 2 2" xfId="13565"/>
    <cellStyle name="Normal 2 4 2 2 2 2 3" xfId="19720"/>
    <cellStyle name="Normal 2 4 2 2 2 2 4" xfId="25847"/>
    <cellStyle name="Normal 2 4 2 2 2 3" xfId="10478"/>
    <cellStyle name="Normal 2 4 2 2 2 4" xfId="16637"/>
    <cellStyle name="Normal 2 4 2 2 2 5" xfId="22765"/>
    <cellStyle name="Normal 2 4 2 2 3" xfId="4225"/>
    <cellStyle name="Normal 2 4 2 2 3 2" xfId="7322"/>
    <cellStyle name="Normal 2 4 2 2 3 2 2" xfId="13564"/>
    <cellStyle name="Normal 2 4 2 2 3 2 3" xfId="19719"/>
    <cellStyle name="Normal 2 4 2 2 3 2 4" xfId="25846"/>
    <cellStyle name="Normal 2 4 2 2 3 3" xfId="10477"/>
    <cellStyle name="Normal 2 4 2 2 3 4" xfId="16636"/>
    <cellStyle name="Normal 2 4 2 2 3 5" xfId="22764"/>
    <cellStyle name="Normal 2 4 2 2 4" xfId="5248"/>
    <cellStyle name="Normal 2 4 2 2 4 2" xfId="11490"/>
    <cellStyle name="Normal 2 4 2 2 4 3" xfId="17645"/>
    <cellStyle name="Normal 2 4 2 2 4 4" xfId="23772"/>
    <cellStyle name="Normal 2 4 2 2 5" xfId="8404"/>
    <cellStyle name="Normal 2 4 2 2 6" xfId="14833"/>
    <cellStyle name="Normal 2 4 2 2 7" xfId="20586"/>
    <cellStyle name="Normal 2 4 2 3" xfId="1828"/>
    <cellStyle name="Normal 2 4 2 3 2" xfId="4228"/>
    <cellStyle name="Normal 2 4 2 3 2 2" xfId="7325"/>
    <cellStyle name="Normal 2 4 2 3 2 2 2" xfId="13567"/>
    <cellStyle name="Normal 2 4 2 3 2 2 3" xfId="19722"/>
    <cellStyle name="Normal 2 4 2 3 2 2 4" xfId="25849"/>
    <cellStyle name="Normal 2 4 2 3 2 3" xfId="10480"/>
    <cellStyle name="Normal 2 4 2 3 2 4" xfId="16639"/>
    <cellStyle name="Normal 2 4 2 3 2 5" xfId="22767"/>
    <cellStyle name="Normal 2 4 2 3 3" xfId="4227"/>
    <cellStyle name="Normal 2 4 2 3 3 2" xfId="7324"/>
    <cellStyle name="Normal 2 4 2 3 3 2 2" xfId="13566"/>
    <cellStyle name="Normal 2 4 2 3 3 2 3" xfId="19721"/>
    <cellStyle name="Normal 2 4 2 3 3 2 4" xfId="25848"/>
    <cellStyle name="Normal 2 4 2 3 3 3" xfId="10479"/>
    <cellStyle name="Normal 2 4 2 3 3 4" xfId="16638"/>
    <cellStyle name="Normal 2 4 2 3 3 5" xfId="22766"/>
    <cellStyle name="Normal 2 4 2 3 4" xfId="5293"/>
    <cellStyle name="Normal 2 4 2 3 4 2" xfId="11535"/>
    <cellStyle name="Normal 2 4 2 3 4 3" xfId="17690"/>
    <cellStyle name="Normal 2 4 2 3 4 4" xfId="23817"/>
    <cellStyle name="Normal 2 4 2 3 5" xfId="8449"/>
    <cellStyle name="Normal 2 4 2 3 6" xfId="14834"/>
    <cellStyle name="Normal 2 4 2 3 7" xfId="20630"/>
    <cellStyle name="Normal 2 4 2 4" xfId="4229"/>
    <cellStyle name="Normal 2 4 2 4 2" xfId="7326"/>
    <cellStyle name="Normal 2 4 2 4 2 2" xfId="13568"/>
    <cellStyle name="Normal 2 4 2 4 2 3" xfId="19723"/>
    <cellStyle name="Normal 2 4 2 4 2 4" xfId="25850"/>
    <cellStyle name="Normal 2 4 2 4 3" xfId="10481"/>
    <cellStyle name="Normal 2 4 2 4 4" xfId="16640"/>
    <cellStyle name="Normal 2 4 2 4 5" xfId="22768"/>
    <cellStyle name="Normal 2 4 2 5" xfId="4224"/>
    <cellStyle name="Normal 2 4 2 5 2" xfId="7321"/>
    <cellStyle name="Normal 2 4 2 5 2 2" xfId="13563"/>
    <cellStyle name="Normal 2 4 2 5 2 3" xfId="19718"/>
    <cellStyle name="Normal 2 4 2 5 2 4" xfId="25845"/>
    <cellStyle name="Normal 2 4 2 5 3" xfId="10476"/>
    <cellStyle name="Normal 2 4 2 5 4" xfId="16635"/>
    <cellStyle name="Normal 2 4 2 5 5" xfId="22763"/>
    <cellStyle name="Normal 2 4 2 6" xfId="5074"/>
    <cellStyle name="Normal 2 4 2 6 2" xfId="11317"/>
    <cellStyle name="Normal 2 4 2 6 3" xfId="17472"/>
    <cellStyle name="Normal 2 4 2 6 4" xfId="23599"/>
    <cellStyle name="Normal 2 4 2 7" xfId="8232"/>
    <cellStyle name="Normal 2 4 2 8" xfId="14832"/>
    <cellStyle name="Normal 2 4 2 9" xfId="20419"/>
    <cellStyle name="Normal 2 4 3" xfId="858"/>
    <cellStyle name="Normal 2 4 3 2" xfId="1564"/>
    <cellStyle name="Normal 2 4 4" xfId="1153"/>
    <cellStyle name="Normal 2 4 5" xfId="828"/>
    <cellStyle name="Normal 2 4 6" xfId="1344"/>
    <cellStyle name="Normal 2 4 7" xfId="1900"/>
    <cellStyle name="Normal 2 4 7 2" xfId="4231"/>
    <cellStyle name="Normal 2 4 7 2 2" xfId="7328"/>
    <cellStyle name="Normal 2 4 7 2 2 2" xfId="13570"/>
    <cellStyle name="Normal 2 4 7 2 2 3" xfId="19725"/>
    <cellStyle name="Normal 2 4 7 2 2 4" xfId="25852"/>
    <cellStyle name="Normal 2 4 7 2 3" xfId="10483"/>
    <cellStyle name="Normal 2 4 7 2 4" xfId="16642"/>
    <cellStyle name="Normal 2 4 7 2 5" xfId="22770"/>
    <cellStyle name="Normal 2 4 7 3" xfId="4230"/>
    <cellStyle name="Normal 2 4 7 3 2" xfId="7327"/>
    <cellStyle name="Normal 2 4 7 3 2 2" xfId="13569"/>
    <cellStyle name="Normal 2 4 7 3 2 3" xfId="19724"/>
    <cellStyle name="Normal 2 4 7 3 2 4" xfId="25851"/>
    <cellStyle name="Normal 2 4 7 3 3" xfId="10482"/>
    <cellStyle name="Normal 2 4 7 3 4" xfId="16641"/>
    <cellStyle name="Normal 2 4 7 3 5" xfId="22769"/>
    <cellStyle name="Normal 2 4 7 4" xfId="5308"/>
    <cellStyle name="Normal 2 4 7 4 2" xfId="11550"/>
    <cellStyle name="Normal 2 4 7 4 3" xfId="17705"/>
    <cellStyle name="Normal 2 4 7 4 4" xfId="23832"/>
    <cellStyle name="Normal 2 4 7 5" xfId="8463"/>
    <cellStyle name="Normal 2 4 7 6" xfId="14835"/>
    <cellStyle name="Normal 2 4 7 7" xfId="20644"/>
    <cellStyle name="Normal 2 4 8" xfId="391"/>
    <cellStyle name="Normal 2 5" xfId="311"/>
    <cellStyle name="Normal 2 5 2" xfId="393"/>
    <cellStyle name="Normal 2 5 2 2" xfId="1557"/>
    <cellStyle name="Normal 2 5 2 2 2" xfId="4234"/>
    <cellStyle name="Normal 2 5 2 2 2 2" xfId="7331"/>
    <cellStyle name="Normal 2 5 2 2 2 2 2" xfId="13573"/>
    <cellStyle name="Normal 2 5 2 2 2 2 3" xfId="19728"/>
    <cellStyle name="Normal 2 5 2 2 2 2 4" xfId="25855"/>
    <cellStyle name="Normal 2 5 2 2 2 3" xfId="10486"/>
    <cellStyle name="Normal 2 5 2 2 2 4" xfId="16645"/>
    <cellStyle name="Normal 2 5 2 2 2 5" xfId="22773"/>
    <cellStyle name="Normal 2 5 2 2 3" xfId="4233"/>
    <cellStyle name="Normal 2 5 2 2 3 2" xfId="7330"/>
    <cellStyle name="Normal 2 5 2 2 3 2 2" xfId="13572"/>
    <cellStyle name="Normal 2 5 2 2 3 2 3" xfId="19727"/>
    <cellStyle name="Normal 2 5 2 2 3 2 4" xfId="25854"/>
    <cellStyle name="Normal 2 5 2 2 3 3" xfId="10485"/>
    <cellStyle name="Normal 2 5 2 2 3 4" xfId="16644"/>
    <cellStyle name="Normal 2 5 2 2 3 5" xfId="22772"/>
    <cellStyle name="Normal 2 5 2 2 4" xfId="5252"/>
    <cellStyle name="Normal 2 5 2 2 4 2" xfId="11494"/>
    <cellStyle name="Normal 2 5 2 2 4 3" xfId="17649"/>
    <cellStyle name="Normal 2 5 2 2 4 4" xfId="23776"/>
    <cellStyle name="Normal 2 5 2 2 5" xfId="8409"/>
    <cellStyle name="Normal 2 5 2 2 6" xfId="14837"/>
    <cellStyle name="Normal 2 5 2 2 7" xfId="20590"/>
    <cellStyle name="Normal 2 5 2 3" xfId="4235"/>
    <cellStyle name="Normal 2 5 2 3 2" xfId="7332"/>
    <cellStyle name="Normal 2 5 2 3 2 2" xfId="13574"/>
    <cellStyle name="Normal 2 5 2 3 2 3" xfId="19729"/>
    <cellStyle name="Normal 2 5 2 3 2 4" xfId="25856"/>
    <cellStyle name="Normal 2 5 2 3 3" xfId="10487"/>
    <cellStyle name="Normal 2 5 2 3 4" xfId="16646"/>
    <cellStyle name="Normal 2 5 2 3 5" xfId="22774"/>
    <cellStyle name="Normal 2 5 2 4" xfId="4232"/>
    <cellStyle name="Normal 2 5 2 4 2" xfId="7329"/>
    <cellStyle name="Normal 2 5 2 4 2 2" xfId="13571"/>
    <cellStyle name="Normal 2 5 2 4 2 3" xfId="19726"/>
    <cellStyle name="Normal 2 5 2 4 2 4" xfId="25853"/>
    <cellStyle name="Normal 2 5 2 4 3" xfId="10484"/>
    <cellStyle name="Normal 2 5 2 4 4" xfId="16643"/>
    <cellStyle name="Normal 2 5 2 4 5" xfId="22771"/>
    <cellStyle name="Normal 2 5 2 5" xfId="5075"/>
    <cellStyle name="Normal 2 5 2 5 2" xfId="11318"/>
    <cellStyle name="Normal 2 5 2 5 3" xfId="17473"/>
    <cellStyle name="Normal 2 5 2 5 4" xfId="23600"/>
    <cellStyle name="Normal 2 5 2 6" xfId="8233"/>
    <cellStyle name="Normal 2 5 2 7" xfId="14836"/>
    <cellStyle name="Normal 2 5 2 8" xfId="20420"/>
    <cellStyle name="Normal 2 5 3" xfId="1154"/>
    <cellStyle name="Normal 2 5 3 2" xfId="1376"/>
    <cellStyle name="Normal 2 5 4" xfId="1265"/>
    <cellStyle name="Normal 2 5 5" xfId="1581"/>
    <cellStyle name="Normal 2 5 5 2" xfId="4237"/>
    <cellStyle name="Normal 2 5 5 2 2" xfId="7334"/>
    <cellStyle name="Normal 2 5 5 2 2 2" xfId="13576"/>
    <cellStyle name="Normal 2 5 5 2 2 3" xfId="19731"/>
    <cellStyle name="Normal 2 5 5 2 2 4" xfId="25858"/>
    <cellStyle name="Normal 2 5 5 2 3" xfId="10489"/>
    <cellStyle name="Normal 2 5 5 2 4" xfId="16648"/>
    <cellStyle name="Normal 2 5 5 2 5" xfId="22776"/>
    <cellStyle name="Normal 2 5 5 3" xfId="4236"/>
    <cellStyle name="Normal 2 5 5 3 2" xfId="7333"/>
    <cellStyle name="Normal 2 5 5 3 2 2" xfId="13575"/>
    <cellStyle name="Normal 2 5 5 3 2 3" xfId="19730"/>
    <cellStyle name="Normal 2 5 5 3 2 4" xfId="25857"/>
    <cellStyle name="Normal 2 5 5 3 3" xfId="10488"/>
    <cellStyle name="Normal 2 5 5 3 4" xfId="16647"/>
    <cellStyle name="Normal 2 5 5 3 5" xfId="22775"/>
    <cellStyle name="Normal 2 5 5 4" xfId="5256"/>
    <cellStyle name="Normal 2 5 5 4 2" xfId="11498"/>
    <cellStyle name="Normal 2 5 5 4 3" xfId="17653"/>
    <cellStyle name="Normal 2 5 5 4 4" xfId="23780"/>
    <cellStyle name="Normal 2 5 5 5" xfId="8413"/>
    <cellStyle name="Normal 2 5 5 6" xfId="14838"/>
    <cellStyle name="Normal 2 5 5 7" xfId="20594"/>
    <cellStyle name="Normal 2 6" xfId="394"/>
    <cellStyle name="Normal 2 6 2" xfId="395"/>
    <cellStyle name="Normal 2 6 2 2" xfId="1660"/>
    <cellStyle name="Normal 2 6 2 2 2" xfId="4240"/>
    <cellStyle name="Normal 2 6 2 2 2 2" xfId="7337"/>
    <cellStyle name="Normal 2 6 2 2 2 2 2" xfId="13579"/>
    <cellStyle name="Normal 2 6 2 2 2 2 3" xfId="19734"/>
    <cellStyle name="Normal 2 6 2 2 2 2 4" xfId="25861"/>
    <cellStyle name="Normal 2 6 2 2 2 3" xfId="10492"/>
    <cellStyle name="Normal 2 6 2 2 2 4" xfId="16651"/>
    <cellStyle name="Normal 2 6 2 2 2 5" xfId="22779"/>
    <cellStyle name="Normal 2 6 2 2 3" xfId="4239"/>
    <cellStyle name="Normal 2 6 2 2 3 2" xfId="7336"/>
    <cellStyle name="Normal 2 6 2 2 3 2 2" xfId="13578"/>
    <cellStyle name="Normal 2 6 2 2 3 2 3" xfId="19733"/>
    <cellStyle name="Normal 2 6 2 2 3 2 4" xfId="25860"/>
    <cellStyle name="Normal 2 6 2 2 3 3" xfId="10491"/>
    <cellStyle name="Normal 2 6 2 2 3 4" xfId="16650"/>
    <cellStyle name="Normal 2 6 2 2 3 5" xfId="22778"/>
    <cellStyle name="Normal 2 6 2 2 4" xfId="5267"/>
    <cellStyle name="Normal 2 6 2 2 4 2" xfId="11509"/>
    <cellStyle name="Normal 2 6 2 2 4 3" xfId="17664"/>
    <cellStyle name="Normal 2 6 2 2 4 4" xfId="23791"/>
    <cellStyle name="Normal 2 6 2 2 5" xfId="8423"/>
    <cellStyle name="Normal 2 6 2 2 6" xfId="14840"/>
    <cellStyle name="Normal 2 6 2 2 7" xfId="20604"/>
    <cellStyle name="Normal 2 6 2 3" xfId="4241"/>
    <cellStyle name="Normal 2 6 2 3 2" xfId="7338"/>
    <cellStyle name="Normal 2 6 2 3 2 2" xfId="13580"/>
    <cellStyle name="Normal 2 6 2 3 2 3" xfId="19735"/>
    <cellStyle name="Normal 2 6 2 3 2 4" xfId="25862"/>
    <cellStyle name="Normal 2 6 2 3 3" xfId="10493"/>
    <cellStyle name="Normal 2 6 2 3 4" xfId="16652"/>
    <cellStyle name="Normal 2 6 2 3 5" xfId="22780"/>
    <cellStyle name="Normal 2 6 2 4" xfId="4238"/>
    <cellStyle name="Normal 2 6 2 4 2" xfId="7335"/>
    <cellStyle name="Normal 2 6 2 4 2 2" xfId="13577"/>
    <cellStyle name="Normal 2 6 2 4 2 3" xfId="19732"/>
    <cellStyle name="Normal 2 6 2 4 2 4" xfId="25859"/>
    <cellStyle name="Normal 2 6 2 4 3" xfId="10490"/>
    <cellStyle name="Normal 2 6 2 4 4" xfId="16649"/>
    <cellStyle name="Normal 2 6 2 4 5" xfId="22777"/>
    <cellStyle name="Normal 2 6 2 5" xfId="5076"/>
    <cellStyle name="Normal 2 6 2 5 2" xfId="11319"/>
    <cellStyle name="Normal 2 6 2 5 3" xfId="17474"/>
    <cellStyle name="Normal 2 6 2 5 4" xfId="23601"/>
    <cellStyle name="Normal 2 6 2 6" xfId="8234"/>
    <cellStyle name="Normal 2 6 2 7" xfId="14839"/>
    <cellStyle name="Normal 2 6 2 8" xfId="20421"/>
    <cellStyle name="Normal 2 6 3" xfId="1155"/>
    <cellStyle name="Normal 2 6 3 2" xfId="1668"/>
    <cellStyle name="Normal 2 6 4" xfId="1267"/>
    <cellStyle name="Normal 2 6 5" xfId="1695"/>
    <cellStyle name="Normal 2 6 6" xfId="4242"/>
    <cellStyle name="Normal 2 6 7" xfId="4243"/>
    <cellStyle name="Normal 2 6 7 2" xfId="7339"/>
    <cellStyle name="Normal 2 6 7 2 2" xfId="13581"/>
    <cellStyle name="Normal 2 6 7 2 3" xfId="19736"/>
    <cellStyle name="Normal 2 6 7 2 4" xfId="25863"/>
    <cellStyle name="Normal 2 6 7 3" xfId="10494"/>
    <cellStyle name="Normal 2 6 7 4" xfId="16653"/>
    <cellStyle name="Normal 2 6 7 5" xfId="22781"/>
    <cellStyle name="Normal 2 7" xfId="396"/>
    <cellStyle name="Normal 2 7 10" xfId="14841"/>
    <cellStyle name="Normal 2 7 11" xfId="20422"/>
    <cellStyle name="Normal 2 7 2" xfId="1868"/>
    <cellStyle name="Normal 2 7 2 2" xfId="4246"/>
    <cellStyle name="Normal 2 7 2 3" xfId="4247"/>
    <cellStyle name="Normal 2 7 2 3 2" xfId="7342"/>
    <cellStyle name="Normal 2 7 2 3 2 2" xfId="13584"/>
    <cellStyle name="Normal 2 7 2 3 2 3" xfId="19739"/>
    <cellStyle name="Normal 2 7 2 3 2 4" xfId="25866"/>
    <cellStyle name="Normal 2 7 2 3 3" xfId="10497"/>
    <cellStyle name="Normal 2 7 2 3 4" xfId="16656"/>
    <cellStyle name="Normal 2 7 2 3 5" xfId="22784"/>
    <cellStyle name="Normal 2 7 2 4" xfId="4245"/>
    <cellStyle name="Normal 2 7 2 4 2" xfId="7341"/>
    <cellStyle name="Normal 2 7 2 4 2 2" xfId="13583"/>
    <cellStyle name="Normal 2 7 2 4 2 3" xfId="19738"/>
    <cellStyle name="Normal 2 7 2 4 2 4" xfId="25865"/>
    <cellStyle name="Normal 2 7 2 4 3" xfId="10496"/>
    <cellStyle name="Normal 2 7 2 4 4" xfId="16655"/>
    <cellStyle name="Normal 2 7 2 4 5" xfId="22783"/>
    <cellStyle name="Normal 2 7 2 5" xfId="5299"/>
    <cellStyle name="Normal 2 7 2 5 2" xfId="11541"/>
    <cellStyle name="Normal 2 7 2 5 3" xfId="17696"/>
    <cellStyle name="Normal 2 7 2 5 4" xfId="23823"/>
    <cellStyle name="Normal 2 7 2 6" xfId="8454"/>
    <cellStyle name="Normal 2 7 2 7" xfId="14842"/>
    <cellStyle name="Normal 2 7 2 8" xfId="20635"/>
    <cellStyle name="Normal 2 7 3" xfId="1600"/>
    <cellStyle name="Normal 2 7 3 2" xfId="4249"/>
    <cellStyle name="Normal 2 7 3 3" xfId="4250"/>
    <cellStyle name="Normal 2 7 3 3 2" xfId="7344"/>
    <cellStyle name="Normal 2 7 3 3 2 2" xfId="13586"/>
    <cellStyle name="Normal 2 7 3 3 2 3" xfId="19741"/>
    <cellStyle name="Normal 2 7 3 3 2 4" xfId="25868"/>
    <cellStyle name="Normal 2 7 3 3 3" xfId="10499"/>
    <cellStyle name="Normal 2 7 3 3 4" xfId="16658"/>
    <cellStyle name="Normal 2 7 3 3 5" xfId="22786"/>
    <cellStyle name="Normal 2 7 3 4" xfId="4248"/>
    <cellStyle name="Normal 2 7 3 4 2" xfId="7343"/>
    <cellStyle name="Normal 2 7 3 4 2 2" xfId="13585"/>
    <cellStyle name="Normal 2 7 3 4 2 3" xfId="19740"/>
    <cellStyle name="Normal 2 7 3 4 2 4" xfId="25867"/>
    <cellStyle name="Normal 2 7 3 4 3" xfId="10498"/>
    <cellStyle name="Normal 2 7 3 4 4" xfId="16657"/>
    <cellStyle name="Normal 2 7 3 4 5" xfId="22785"/>
    <cellStyle name="Normal 2 7 3 5" xfId="5258"/>
    <cellStyle name="Normal 2 7 3 5 2" xfId="11500"/>
    <cellStyle name="Normal 2 7 3 5 3" xfId="17655"/>
    <cellStyle name="Normal 2 7 3 5 4" xfId="23782"/>
    <cellStyle name="Normal 2 7 3 6" xfId="8415"/>
    <cellStyle name="Normal 2 7 3 7" xfId="14843"/>
    <cellStyle name="Normal 2 7 3 8" xfId="20596"/>
    <cellStyle name="Normal 2 7 4" xfId="2051"/>
    <cellStyle name="Normal 2 7 5" xfId="4251"/>
    <cellStyle name="Normal 2 7 6" xfId="4252"/>
    <cellStyle name="Normal 2 7 6 2" xfId="7345"/>
    <cellStyle name="Normal 2 7 6 2 2" xfId="13587"/>
    <cellStyle name="Normal 2 7 6 2 3" xfId="19742"/>
    <cellStyle name="Normal 2 7 6 2 4" xfId="25869"/>
    <cellStyle name="Normal 2 7 6 3" xfId="10500"/>
    <cellStyle name="Normal 2 7 6 4" xfId="16659"/>
    <cellStyle name="Normal 2 7 6 5" xfId="22787"/>
    <cellStyle name="Normal 2 7 7" xfId="4244"/>
    <cellStyle name="Normal 2 7 7 2" xfId="7340"/>
    <cellStyle name="Normal 2 7 7 2 2" xfId="13582"/>
    <cellStyle name="Normal 2 7 7 2 3" xfId="19737"/>
    <cellStyle name="Normal 2 7 7 2 4" xfId="25864"/>
    <cellStyle name="Normal 2 7 7 3" xfId="10495"/>
    <cellStyle name="Normal 2 7 7 4" xfId="16654"/>
    <cellStyle name="Normal 2 7 7 5" xfId="22782"/>
    <cellStyle name="Normal 2 7 8" xfId="5077"/>
    <cellStyle name="Normal 2 7 8 2" xfId="11320"/>
    <cellStyle name="Normal 2 7 8 3" xfId="17475"/>
    <cellStyle name="Normal 2 7 8 4" xfId="23602"/>
    <cellStyle name="Normal 2 7 9" xfId="8235"/>
    <cellStyle name="Normal 2 8" xfId="397"/>
    <cellStyle name="Normal 2 8 10" xfId="20423"/>
    <cellStyle name="Normal 2 8 2" xfId="1877"/>
    <cellStyle name="Normal 2 8 2 2" xfId="4255"/>
    <cellStyle name="Normal 2 8 2 2 2" xfId="7348"/>
    <cellStyle name="Normal 2 8 2 2 2 2" xfId="13590"/>
    <cellStyle name="Normal 2 8 2 2 2 3" xfId="19745"/>
    <cellStyle name="Normal 2 8 2 2 2 4" xfId="25872"/>
    <cellStyle name="Normal 2 8 2 2 3" xfId="10503"/>
    <cellStyle name="Normal 2 8 2 2 4" xfId="16662"/>
    <cellStyle name="Normal 2 8 2 2 5" xfId="22790"/>
    <cellStyle name="Normal 2 8 2 3" xfId="4254"/>
    <cellStyle name="Normal 2 8 2 3 2" xfId="7347"/>
    <cellStyle name="Normal 2 8 2 3 2 2" xfId="13589"/>
    <cellStyle name="Normal 2 8 2 3 2 3" xfId="19744"/>
    <cellStyle name="Normal 2 8 2 3 2 4" xfId="25871"/>
    <cellStyle name="Normal 2 8 2 3 3" xfId="10502"/>
    <cellStyle name="Normal 2 8 2 3 4" xfId="16661"/>
    <cellStyle name="Normal 2 8 2 3 5" xfId="22789"/>
    <cellStyle name="Normal 2 8 2 4" xfId="5302"/>
    <cellStyle name="Normal 2 8 2 4 2" xfId="11544"/>
    <cellStyle name="Normal 2 8 2 4 3" xfId="17699"/>
    <cellStyle name="Normal 2 8 2 4 4" xfId="23826"/>
    <cellStyle name="Normal 2 8 2 5" xfId="8457"/>
    <cellStyle name="Normal 2 8 2 6" xfId="14845"/>
    <cellStyle name="Normal 2 8 2 7" xfId="20638"/>
    <cellStyle name="Normal 2 8 3" xfId="2089"/>
    <cellStyle name="Normal 2 8 4" xfId="4256"/>
    <cellStyle name="Normal 2 8 5" xfId="4257"/>
    <cellStyle name="Normal 2 8 5 2" xfId="7349"/>
    <cellStyle name="Normal 2 8 5 2 2" xfId="13591"/>
    <cellStyle name="Normal 2 8 5 2 3" xfId="19746"/>
    <cellStyle name="Normal 2 8 5 2 4" xfId="25873"/>
    <cellStyle name="Normal 2 8 5 3" xfId="10504"/>
    <cellStyle name="Normal 2 8 5 4" xfId="16663"/>
    <cellStyle name="Normal 2 8 5 5" xfId="22791"/>
    <cellStyle name="Normal 2 8 6" xfId="4253"/>
    <cellStyle name="Normal 2 8 6 2" xfId="7346"/>
    <cellStyle name="Normal 2 8 6 2 2" xfId="13588"/>
    <cellStyle name="Normal 2 8 6 2 3" xfId="19743"/>
    <cellStyle name="Normal 2 8 6 2 4" xfId="25870"/>
    <cellStyle name="Normal 2 8 6 3" xfId="10501"/>
    <cellStyle name="Normal 2 8 6 4" xfId="16660"/>
    <cellStyle name="Normal 2 8 6 5" xfId="22788"/>
    <cellStyle name="Normal 2 8 7" xfId="5078"/>
    <cellStyle name="Normal 2 8 7 2" xfId="11321"/>
    <cellStyle name="Normal 2 8 7 3" xfId="17476"/>
    <cellStyle name="Normal 2 8 7 4" xfId="23603"/>
    <cellStyle name="Normal 2 8 8" xfId="8236"/>
    <cellStyle name="Normal 2 8 9" xfId="14844"/>
    <cellStyle name="Normal 2 9" xfId="865"/>
    <cellStyle name="Normal 2 9 10" xfId="20518"/>
    <cellStyle name="Normal 2 9 2" xfId="1234"/>
    <cellStyle name="Normal 2 9 3" xfId="1690"/>
    <cellStyle name="Normal 2 9 3 2" xfId="4260"/>
    <cellStyle name="Normal 2 9 3 2 2" xfId="7352"/>
    <cellStyle name="Normal 2 9 3 2 2 2" xfId="13594"/>
    <cellStyle name="Normal 2 9 3 2 2 3" xfId="19749"/>
    <cellStyle name="Normal 2 9 3 2 2 4" xfId="25876"/>
    <cellStyle name="Normal 2 9 3 2 3" xfId="10507"/>
    <cellStyle name="Normal 2 9 3 2 4" xfId="16666"/>
    <cellStyle name="Normal 2 9 3 2 5" xfId="22794"/>
    <cellStyle name="Normal 2 9 3 3" xfId="4259"/>
    <cellStyle name="Normal 2 9 3 3 2" xfId="7351"/>
    <cellStyle name="Normal 2 9 3 3 2 2" xfId="13593"/>
    <cellStyle name="Normal 2 9 3 3 2 3" xfId="19748"/>
    <cellStyle name="Normal 2 9 3 3 2 4" xfId="25875"/>
    <cellStyle name="Normal 2 9 3 3 3" xfId="10506"/>
    <cellStyle name="Normal 2 9 3 3 4" xfId="16665"/>
    <cellStyle name="Normal 2 9 3 3 5" xfId="22793"/>
    <cellStyle name="Normal 2 9 3 4" xfId="5271"/>
    <cellStyle name="Normal 2 9 3 4 2" xfId="11513"/>
    <cellStyle name="Normal 2 9 3 4 3" xfId="17668"/>
    <cellStyle name="Normal 2 9 3 4 4" xfId="23795"/>
    <cellStyle name="Normal 2 9 3 5" xfId="8427"/>
    <cellStyle name="Normal 2 9 3 6" xfId="14847"/>
    <cellStyle name="Normal 2 9 3 7" xfId="20608"/>
    <cellStyle name="Normal 2 9 4" xfId="2093"/>
    <cellStyle name="Normal 2 9 5" xfId="4261"/>
    <cellStyle name="Normal 2 9 5 2" xfId="7353"/>
    <cellStyle name="Normal 2 9 5 2 2" xfId="13595"/>
    <cellStyle name="Normal 2 9 5 2 3" xfId="19750"/>
    <cellStyle name="Normal 2 9 5 2 4" xfId="25877"/>
    <cellStyle name="Normal 2 9 5 3" xfId="10508"/>
    <cellStyle name="Normal 2 9 5 4" xfId="16667"/>
    <cellStyle name="Normal 2 9 5 5" xfId="22795"/>
    <cellStyle name="Normal 2 9 6" xfId="4258"/>
    <cellStyle name="Normal 2 9 6 2" xfId="7350"/>
    <cellStyle name="Normal 2 9 6 2 2" xfId="13592"/>
    <cellStyle name="Normal 2 9 6 2 3" xfId="19747"/>
    <cellStyle name="Normal 2 9 6 2 4" xfId="25874"/>
    <cellStyle name="Normal 2 9 6 3" xfId="10505"/>
    <cellStyle name="Normal 2 9 6 4" xfId="16664"/>
    <cellStyle name="Normal 2 9 6 5" xfId="22792"/>
    <cellStyle name="Normal 2 9 7" xfId="5178"/>
    <cellStyle name="Normal 2 9 7 2" xfId="11421"/>
    <cellStyle name="Normal 2 9 7 3" xfId="17576"/>
    <cellStyle name="Normal 2 9 7 4" xfId="23703"/>
    <cellStyle name="Normal 2 9 8" xfId="8335"/>
    <cellStyle name="Normal 2 9 9" xfId="14846"/>
    <cellStyle name="Normal 2_Sheet4" xfId="1096"/>
    <cellStyle name="Normal 20" xfId="1192"/>
    <cellStyle name="Normal 20 2" xfId="1952"/>
    <cellStyle name="Normal 20 2 2" xfId="1771"/>
    <cellStyle name="Normal 20 2 2 2" xfId="4263"/>
    <cellStyle name="Normal 20 2 2 2 2" xfId="7355"/>
    <cellStyle name="Normal 20 2 2 2 2 2" xfId="13597"/>
    <cellStyle name="Normal 20 2 2 2 2 3" xfId="19752"/>
    <cellStyle name="Normal 20 2 2 2 2 4" xfId="25879"/>
    <cellStyle name="Normal 20 2 2 2 3" xfId="10510"/>
    <cellStyle name="Normal 20 2 2 2 4" xfId="16669"/>
    <cellStyle name="Normal 20 2 2 2 5" xfId="22797"/>
    <cellStyle name="Normal 20 2 2 3" xfId="4262"/>
    <cellStyle name="Normal 20 2 2 3 2" xfId="7354"/>
    <cellStyle name="Normal 20 2 2 3 2 2" xfId="13596"/>
    <cellStyle name="Normal 20 2 2 3 2 3" xfId="19751"/>
    <cellStyle name="Normal 20 2 2 3 2 4" xfId="25878"/>
    <cellStyle name="Normal 20 2 2 3 3" xfId="10509"/>
    <cellStyle name="Normal 20 2 2 3 4" xfId="16668"/>
    <cellStyle name="Normal 20 2 2 3 5" xfId="22796"/>
    <cellStyle name="Normal 20 2 2 4" xfId="5284"/>
    <cellStyle name="Normal 20 2 2 4 2" xfId="11526"/>
    <cellStyle name="Normal 20 2 2 4 3" xfId="17681"/>
    <cellStyle name="Normal 20 2 2 4 4" xfId="23808"/>
    <cellStyle name="Normal 20 2 2 5" xfId="8440"/>
    <cellStyle name="Normal 20 2 2 6" xfId="14848"/>
    <cellStyle name="Normal 20 2 2 7" xfId="20621"/>
    <cellStyle name="Normal 20 2 3" xfId="2599"/>
    <cellStyle name="Normal 20 3" xfId="1689"/>
    <cellStyle name="Normal 20 3 10" xfId="20607"/>
    <cellStyle name="Normal 20 3 2" xfId="2607"/>
    <cellStyle name="Normal 20 3 3" xfId="2603"/>
    <cellStyle name="Normal 20 3 4" xfId="1253"/>
    <cellStyle name="Normal 20 3 5" xfId="4265"/>
    <cellStyle name="Normal 20 3 5 2" xfId="7357"/>
    <cellStyle name="Normal 20 3 5 2 2" xfId="13599"/>
    <cellStyle name="Normal 20 3 5 2 3" xfId="19754"/>
    <cellStyle name="Normal 20 3 5 2 4" xfId="25881"/>
    <cellStyle name="Normal 20 3 5 3" xfId="10512"/>
    <cellStyle name="Normal 20 3 5 4" xfId="16671"/>
    <cellStyle name="Normal 20 3 5 5" xfId="22799"/>
    <cellStyle name="Normal 20 3 6" xfId="4264"/>
    <cellStyle name="Normal 20 3 6 2" xfId="7356"/>
    <cellStyle name="Normal 20 3 6 2 2" xfId="13598"/>
    <cellStyle name="Normal 20 3 6 2 3" xfId="19753"/>
    <cellStyle name="Normal 20 3 6 2 4" xfId="25880"/>
    <cellStyle name="Normal 20 3 6 3" xfId="10511"/>
    <cellStyle name="Normal 20 3 6 4" xfId="16670"/>
    <cellStyle name="Normal 20 3 6 5" xfId="22798"/>
    <cellStyle name="Normal 20 3 7" xfId="5270"/>
    <cellStyle name="Normal 20 3 7 2" xfId="11512"/>
    <cellStyle name="Normal 20 3 7 3" xfId="17667"/>
    <cellStyle name="Normal 20 3 7 4" xfId="23794"/>
    <cellStyle name="Normal 20 3 8" xfId="8426"/>
    <cellStyle name="Normal 20 3 9" xfId="14849"/>
    <cellStyle name="Normal 20 4" xfId="2109"/>
    <cellStyle name="Normal 20 4 2" xfId="2606"/>
    <cellStyle name="Normal 20 4 3" xfId="4267"/>
    <cellStyle name="Normal 20 4 3 2" xfId="7359"/>
    <cellStyle name="Normal 20 4 3 2 2" xfId="13601"/>
    <cellStyle name="Normal 20 4 3 2 3" xfId="19756"/>
    <cellStyle name="Normal 20 4 3 2 4" xfId="25883"/>
    <cellStyle name="Normal 20 4 3 3" xfId="10514"/>
    <cellStyle name="Normal 20 4 3 4" xfId="16673"/>
    <cellStyle name="Normal 20 4 3 5" xfId="22801"/>
    <cellStyle name="Normal 20 4 4" xfId="4266"/>
    <cellStyle name="Normal 20 4 4 2" xfId="7358"/>
    <cellStyle name="Normal 20 4 4 2 2" xfId="13600"/>
    <cellStyle name="Normal 20 4 4 2 3" xfId="19755"/>
    <cellStyle name="Normal 20 4 4 2 4" xfId="25882"/>
    <cellStyle name="Normal 20 4 4 3" xfId="10513"/>
    <cellStyle name="Normal 20 4 4 4" xfId="16672"/>
    <cellStyle name="Normal 20 4 4 5" xfId="22800"/>
    <cellStyle name="Normal 20 4 5" xfId="5422"/>
    <cellStyle name="Normal 20 4 5 2" xfId="11664"/>
    <cellStyle name="Normal 20 4 5 3" xfId="17819"/>
    <cellStyle name="Normal 20 4 5 4" xfId="23946"/>
    <cellStyle name="Normal 20 4 6" xfId="8576"/>
    <cellStyle name="Normal 20 4 7" xfId="14850"/>
    <cellStyle name="Normal 20 4 8" xfId="20756"/>
    <cellStyle name="Normal 20 5" xfId="2596"/>
    <cellStyle name="Normal 20 6" xfId="4268"/>
    <cellStyle name="Normal 200" xfId="20314"/>
    <cellStyle name="Normal 201" xfId="20443"/>
    <cellStyle name="Normal 21" xfId="1188"/>
    <cellStyle name="Normal 21 2" xfId="1872"/>
    <cellStyle name="Normal 21 2 2" xfId="4270"/>
    <cellStyle name="Normal 21 2 2 2" xfId="7361"/>
    <cellStyle name="Normal 21 2 2 2 2" xfId="13603"/>
    <cellStyle name="Normal 21 2 2 2 3" xfId="19758"/>
    <cellStyle name="Normal 21 2 2 2 4" xfId="25885"/>
    <cellStyle name="Normal 21 2 2 3" xfId="10516"/>
    <cellStyle name="Normal 21 2 2 4" xfId="16675"/>
    <cellStyle name="Normal 21 2 2 5" xfId="22803"/>
    <cellStyle name="Normal 21 2 3" xfId="4269"/>
    <cellStyle name="Normal 21 2 3 2" xfId="7360"/>
    <cellStyle name="Normal 21 2 3 2 2" xfId="13602"/>
    <cellStyle name="Normal 21 2 3 2 3" xfId="19757"/>
    <cellStyle name="Normal 21 2 3 2 4" xfId="25884"/>
    <cellStyle name="Normal 21 2 3 3" xfId="10515"/>
    <cellStyle name="Normal 21 2 3 4" xfId="16674"/>
    <cellStyle name="Normal 21 2 3 5" xfId="22802"/>
    <cellStyle name="Normal 21 2 4" xfId="5301"/>
    <cellStyle name="Normal 21 2 4 2" xfId="11543"/>
    <cellStyle name="Normal 21 2 4 3" xfId="17698"/>
    <cellStyle name="Normal 21 2 4 4" xfId="23825"/>
    <cellStyle name="Normal 21 2 5" xfId="8456"/>
    <cellStyle name="Normal 21 2 6" xfId="14851"/>
    <cellStyle name="Normal 21 2 7" xfId="20637"/>
    <cellStyle name="Normal 21 3" xfId="1962"/>
    <cellStyle name="Normal 21 4" xfId="2600"/>
    <cellStyle name="Normal 22" xfId="1879"/>
    <cellStyle name="Normal 22 2" xfId="4272"/>
    <cellStyle name="Normal 22 2 2" xfId="7363"/>
    <cellStyle name="Normal 22 2 2 2" xfId="13605"/>
    <cellStyle name="Normal 22 2 2 3" xfId="19760"/>
    <cellStyle name="Normal 22 2 2 4" xfId="25887"/>
    <cellStyle name="Normal 22 2 3" xfId="10518"/>
    <cellStyle name="Normal 22 2 4" xfId="16677"/>
    <cellStyle name="Normal 22 2 5" xfId="22805"/>
    <cellStyle name="Normal 22 3" xfId="4271"/>
    <cellStyle name="Normal 22 3 2" xfId="7362"/>
    <cellStyle name="Normal 22 3 2 2" xfId="13604"/>
    <cellStyle name="Normal 22 3 2 3" xfId="19759"/>
    <cellStyle name="Normal 22 3 2 4" xfId="25886"/>
    <cellStyle name="Normal 22 3 3" xfId="10517"/>
    <cellStyle name="Normal 22 3 4" xfId="16676"/>
    <cellStyle name="Normal 22 3 5" xfId="22804"/>
    <cellStyle name="Normal 22 4" xfId="5303"/>
    <cellStyle name="Normal 22 4 2" xfId="11545"/>
    <cellStyle name="Normal 22 4 3" xfId="17700"/>
    <cellStyle name="Normal 22 4 4" xfId="23827"/>
    <cellStyle name="Normal 22 5" xfId="8458"/>
    <cellStyle name="Normal 22 6" xfId="14852"/>
    <cellStyle name="Normal 22 7" xfId="20639"/>
    <cellStyle name="Normal 23" xfId="1563"/>
    <cellStyle name="Normal 23 2" xfId="1570"/>
    <cellStyle name="Normal 23 2 2" xfId="4275"/>
    <cellStyle name="Normal 23 2 2 2" xfId="7366"/>
    <cellStyle name="Normal 23 2 2 2 2" xfId="13608"/>
    <cellStyle name="Normal 23 2 2 2 3" xfId="19763"/>
    <cellStyle name="Normal 23 2 2 2 4" xfId="25890"/>
    <cellStyle name="Normal 23 2 2 3" xfId="10521"/>
    <cellStyle name="Normal 23 2 2 4" xfId="16680"/>
    <cellStyle name="Normal 23 2 2 5" xfId="22808"/>
    <cellStyle name="Normal 23 2 3" xfId="4274"/>
    <cellStyle name="Normal 23 2 3 2" xfId="7365"/>
    <cellStyle name="Normal 23 2 3 2 2" xfId="13607"/>
    <cellStyle name="Normal 23 2 3 2 3" xfId="19762"/>
    <cellStyle name="Normal 23 2 3 2 4" xfId="25889"/>
    <cellStyle name="Normal 23 2 3 3" xfId="10520"/>
    <cellStyle name="Normal 23 2 3 4" xfId="16679"/>
    <cellStyle name="Normal 23 2 3 5" xfId="22807"/>
    <cellStyle name="Normal 23 2 4" xfId="5254"/>
    <cellStyle name="Normal 23 2 4 2" xfId="11496"/>
    <cellStyle name="Normal 23 2 4 3" xfId="17651"/>
    <cellStyle name="Normal 23 2 4 4" xfId="23778"/>
    <cellStyle name="Normal 23 2 5" xfId="8411"/>
    <cellStyle name="Normal 23 2 6" xfId="14854"/>
    <cellStyle name="Normal 23 2 7" xfId="20592"/>
    <cellStyle name="Normal 23 3" xfId="4276"/>
    <cellStyle name="Normal 23 3 2" xfId="7367"/>
    <cellStyle name="Normal 23 3 2 2" xfId="13609"/>
    <cellStyle name="Normal 23 3 2 3" xfId="19764"/>
    <cellStyle name="Normal 23 3 2 4" xfId="25891"/>
    <cellStyle name="Normal 23 3 3" xfId="10522"/>
    <cellStyle name="Normal 23 3 4" xfId="16681"/>
    <cellStyle name="Normal 23 3 5" xfId="22809"/>
    <cellStyle name="Normal 23 4" xfId="4273"/>
    <cellStyle name="Normal 23 4 2" xfId="7364"/>
    <cellStyle name="Normal 23 4 2 2" xfId="13606"/>
    <cellStyle name="Normal 23 4 2 3" xfId="19761"/>
    <cellStyle name="Normal 23 4 2 4" xfId="25888"/>
    <cellStyle name="Normal 23 4 3" xfId="10519"/>
    <cellStyle name="Normal 23 4 4" xfId="16678"/>
    <cellStyle name="Normal 23 4 5" xfId="22806"/>
    <cellStyle name="Normal 23 5" xfId="5253"/>
    <cellStyle name="Normal 23 5 2" xfId="11495"/>
    <cellStyle name="Normal 23 5 3" xfId="17650"/>
    <cellStyle name="Normal 23 5 4" xfId="23777"/>
    <cellStyle name="Normal 23 6" xfId="8410"/>
    <cellStyle name="Normal 23 7" xfId="14853"/>
    <cellStyle name="Normal 23 8" xfId="20591"/>
    <cellStyle name="Normal 24" xfId="1576"/>
    <cellStyle name="Normal 24 2" xfId="1724"/>
    <cellStyle name="Normal 24 2 2" xfId="4279"/>
    <cellStyle name="Normal 24 2 2 2" xfId="7370"/>
    <cellStyle name="Normal 24 2 2 2 2" xfId="13612"/>
    <cellStyle name="Normal 24 2 2 2 3" xfId="19767"/>
    <cellStyle name="Normal 24 2 2 2 4" xfId="25894"/>
    <cellStyle name="Normal 24 2 2 3" xfId="10525"/>
    <cellStyle name="Normal 24 2 2 4" xfId="16684"/>
    <cellStyle name="Normal 24 2 2 5" xfId="22812"/>
    <cellStyle name="Normal 24 2 3" xfId="4278"/>
    <cellStyle name="Normal 24 2 3 2" xfId="7369"/>
    <cellStyle name="Normal 24 2 3 2 2" xfId="13611"/>
    <cellStyle name="Normal 24 2 3 2 3" xfId="19766"/>
    <cellStyle name="Normal 24 2 3 2 4" xfId="25893"/>
    <cellStyle name="Normal 24 2 3 3" xfId="10524"/>
    <cellStyle name="Normal 24 2 3 4" xfId="16683"/>
    <cellStyle name="Normal 24 2 3 5" xfId="22811"/>
    <cellStyle name="Normal 24 2 4" xfId="5278"/>
    <cellStyle name="Normal 24 2 4 2" xfId="11520"/>
    <cellStyle name="Normal 24 2 4 3" xfId="17675"/>
    <cellStyle name="Normal 24 2 4 4" xfId="23802"/>
    <cellStyle name="Normal 24 2 5" xfId="8434"/>
    <cellStyle name="Normal 24 2 6" xfId="14856"/>
    <cellStyle name="Normal 24 2 7" xfId="20615"/>
    <cellStyle name="Normal 24 3" xfId="4280"/>
    <cellStyle name="Normal 24 3 2" xfId="7371"/>
    <cellStyle name="Normal 24 3 2 2" xfId="13613"/>
    <cellStyle name="Normal 24 3 2 3" xfId="19768"/>
    <cellStyle name="Normal 24 3 2 4" xfId="25895"/>
    <cellStyle name="Normal 24 3 3" xfId="10526"/>
    <cellStyle name="Normal 24 3 4" xfId="16685"/>
    <cellStyle name="Normal 24 3 5" xfId="22813"/>
    <cellStyle name="Normal 24 4" xfId="4277"/>
    <cellStyle name="Normal 24 4 2" xfId="7368"/>
    <cellStyle name="Normal 24 4 2 2" xfId="13610"/>
    <cellStyle name="Normal 24 4 2 3" xfId="19765"/>
    <cellStyle name="Normal 24 4 2 4" xfId="25892"/>
    <cellStyle name="Normal 24 4 3" xfId="10523"/>
    <cellStyle name="Normal 24 4 4" xfId="16682"/>
    <cellStyle name="Normal 24 4 5" xfId="22810"/>
    <cellStyle name="Normal 24 5" xfId="5255"/>
    <cellStyle name="Normal 24 5 2" xfId="11497"/>
    <cellStyle name="Normal 24 5 3" xfId="17652"/>
    <cellStyle name="Normal 24 5 4" xfId="23779"/>
    <cellStyle name="Normal 24 6" xfId="8412"/>
    <cellStyle name="Normal 24 7" xfId="14855"/>
    <cellStyle name="Normal 24 8" xfId="20593"/>
    <cellStyle name="Normal 25" xfId="398"/>
    <cellStyle name="Normal 25 2" xfId="1468"/>
    <cellStyle name="Normal 25 2 2" xfId="2541"/>
    <cellStyle name="Normal 26" xfId="399"/>
    <cellStyle name="Normal 26 2" xfId="1447"/>
    <cellStyle name="Normal 26 2 2" xfId="2542"/>
    <cellStyle name="Normal 27" xfId="1942"/>
    <cellStyle name="Normal 27 2" xfId="4282"/>
    <cellStyle name="Normal 27 2 2" xfId="7373"/>
    <cellStyle name="Normal 27 2 2 2" xfId="13615"/>
    <cellStyle name="Normal 27 2 2 3" xfId="19770"/>
    <cellStyle name="Normal 27 2 2 4" xfId="25897"/>
    <cellStyle name="Normal 27 2 3" xfId="10528"/>
    <cellStyle name="Normal 27 2 4" xfId="16687"/>
    <cellStyle name="Normal 27 2 5" xfId="22815"/>
    <cellStyle name="Normal 27 3" xfId="4281"/>
    <cellStyle name="Normal 27 3 2" xfId="7372"/>
    <cellStyle name="Normal 27 3 2 2" xfId="13614"/>
    <cellStyle name="Normal 27 3 2 3" xfId="19769"/>
    <cellStyle name="Normal 27 3 2 4" xfId="25896"/>
    <cellStyle name="Normal 27 3 3" xfId="10527"/>
    <cellStyle name="Normal 27 3 4" xfId="16686"/>
    <cellStyle name="Normal 27 3 5" xfId="22814"/>
    <cellStyle name="Normal 27 4" xfId="5318"/>
    <cellStyle name="Normal 27 4 2" xfId="11560"/>
    <cellStyle name="Normal 27 4 3" xfId="17715"/>
    <cellStyle name="Normal 27 4 4" xfId="23842"/>
    <cellStyle name="Normal 27 5" xfId="8472"/>
    <cellStyle name="Normal 27 6" xfId="14857"/>
    <cellStyle name="Normal 27 7" xfId="20653"/>
    <cellStyle name="Normal 28" xfId="1543"/>
    <cellStyle name="Normal 29" xfId="1846"/>
    <cellStyle name="Normal 3" xfId="154"/>
    <cellStyle name="Normal 3 10" xfId="482"/>
    <cellStyle name="Normal 3 11" xfId="1331"/>
    <cellStyle name="Normal 3 12" xfId="1534"/>
    <cellStyle name="Normal 3 13" xfId="400"/>
    <cellStyle name="Normal 3 14" xfId="264"/>
    <cellStyle name="Normal 3 14 2" xfId="4285"/>
    <cellStyle name="Normal 3 14 2 2" xfId="7376"/>
    <cellStyle name="Normal 3 14 2 2 2" xfId="13618"/>
    <cellStyle name="Normal 3 14 2 2 3" xfId="19773"/>
    <cellStyle name="Normal 3 14 2 2 4" xfId="25900"/>
    <cellStyle name="Normal 3 14 2 3" xfId="10531"/>
    <cellStyle name="Normal 3 14 2 4" xfId="16690"/>
    <cellStyle name="Normal 3 14 2 5" xfId="22818"/>
    <cellStyle name="Normal 3 14 3" xfId="4284"/>
    <cellStyle name="Normal 3 14 3 2" xfId="7375"/>
    <cellStyle name="Normal 3 14 3 2 2" xfId="13617"/>
    <cellStyle name="Normal 3 14 3 2 3" xfId="19772"/>
    <cellStyle name="Normal 3 14 3 2 4" xfId="25899"/>
    <cellStyle name="Normal 3 14 3 3" xfId="10530"/>
    <cellStyle name="Normal 3 14 3 4" xfId="16689"/>
    <cellStyle name="Normal 3 14 3 5" xfId="22817"/>
    <cellStyle name="Normal 3 14 4" xfId="5044"/>
    <cellStyle name="Normal 3 14 4 2" xfId="11287"/>
    <cellStyle name="Normal 3 14 4 3" xfId="17442"/>
    <cellStyle name="Normal 3 14 4 4" xfId="23569"/>
    <cellStyle name="Normal 3 14 5" xfId="8202"/>
    <cellStyle name="Normal 3 14 6" xfId="14859"/>
    <cellStyle name="Normal 3 14 7" xfId="21197"/>
    <cellStyle name="Normal 3 15" xfId="4286"/>
    <cellStyle name="Normal 3 15 2" xfId="7377"/>
    <cellStyle name="Normal 3 15 2 2" xfId="13619"/>
    <cellStyle name="Normal 3 15 2 3" xfId="19774"/>
    <cellStyle name="Normal 3 15 2 4" xfId="25901"/>
    <cellStyle name="Normal 3 15 3" xfId="10532"/>
    <cellStyle name="Normal 3 15 4" xfId="16691"/>
    <cellStyle name="Normal 3 15 5" xfId="22819"/>
    <cellStyle name="Normal 3 16" xfId="4287"/>
    <cellStyle name="Normal 3 17" xfId="4288"/>
    <cellStyle name="Normal 3 17 2" xfId="7378"/>
    <cellStyle name="Normal 3 17 2 2" xfId="13620"/>
    <cellStyle name="Normal 3 17 2 3" xfId="19775"/>
    <cellStyle name="Normal 3 17 2 4" xfId="25902"/>
    <cellStyle name="Normal 3 17 3" xfId="10533"/>
    <cellStyle name="Normal 3 17 4" xfId="16692"/>
    <cellStyle name="Normal 3 17 5" xfId="22820"/>
    <cellStyle name="Normal 3 18" xfId="4283"/>
    <cellStyle name="Normal 3 18 2" xfId="7374"/>
    <cellStyle name="Normal 3 18 2 2" xfId="13616"/>
    <cellStyle name="Normal 3 18 2 3" xfId="19771"/>
    <cellStyle name="Normal 3 18 2 4" xfId="25898"/>
    <cellStyle name="Normal 3 18 3" xfId="10529"/>
    <cellStyle name="Normal 3 18 4" xfId="16688"/>
    <cellStyle name="Normal 3 18 5" xfId="22816"/>
    <cellStyle name="Normal 3 19" xfId="4952"/>
    <cellStyle name="Normal 3 19 2" xfId="11196"/>
    <cellStyle name="Normal 3 19 3" xfId="17351"/>
    <cellStyle name="Normal 3 19 4" xfId="23478"/>
    <cellStyle name="Normal 3 2" xfId="155"/>
    <cellStyle name="Normal 3 2 10" xfId="4289"/>
    <cellStyle name="Normal 3 2 10 2" xfId="7379"/>
    <cellStyle name="Normal 3 2 10 2 2" xfId="13621"/>
    <cellStyle name="Normal 3 2 10 2 3" xfId="19776"/>
    <cellStyle name="Normal 3 2 10 2 4" xfId="25903"/>
    <cellStyle name="Normal 3 2 10 3" xfId="10534"/>
    <cellStyle name="Normal 3 2 10 4" xfId="16693"/>
    <cellStyle name="Normal 3 2 10 5" xfId="22821"/>
    <cellStyle name="Normal 3 2 11" xfId="4864"/>
    <cellStyle name="Normal 3 2 12" xfId="4953"/>
    <cellStyle name="Normal 3 2 12 2" xfId="11197"/>
    <cellStyle name="Normal 3 2 12 3" xfId="17352"/>
    <cellStyle name="Normal 3 2 12 4" xfId="23479"/>
    <cellStyle name="Normal 3 2 13" xfId="8111"/>
    <cellStyle name="Normal 3 2 14" xfId="14860"/>
    <cellStyle name="Normal 3 2 15" xfId="20391"/>
    <cellStyle name="Normal 3 2 2" xfId="298"/>
    <cellStyle name="Normal 3 2 2 2" xfId="1469"/>
    <cellStyle name="Normal 3 2 2 2 2" xfId="4291"/>
    <cellStyle name="Normal 3 2 2 2 2 2" xfId="7381"/>
    <cellStyle name="Normal 3 2 2 2 2 2 2" xfId="13623"/>
    <cellStyle name="Normal 3 2 2 2 2 2 3" xfId="19778"/>
    <cellStyle name="Normal 3 2 2 2 2 2 4" xfId="25905"/>
    <cellStyle name="Normal 3 2 2 2 2 3" xfId="10536"/>
    <cellStyle name="Normal 3 2 2 2 2 4" xfId="16695"/>
    <cellStyle name="Normal 3 2 2 2 2 5" xfId="22823"/>
    <cellStyle name="Normal 3 2 2 2 3" xfId="4290"/>
    <cellStyle name="Normal 3 2 2 2 3 2" xfId="7380"/>
    <cellStyle name="Normal 3 2 2 2 3 2 2" xfId="13622"/>
    <cellStyle name="Normal 3 2 2 2 3 2 3" xfId="19777"/>
    <cellStyle name="Normal 3 2 2 2 3 2 4" xfId="25904"/>
    <cellStyle name="Normal 3 2 2 2 3 3" xfId="10535"/>
    <cellStyle name="Normal 3 2 2 2 3 4" xfId="16694"/>
    <cellStyle name="Normal 3 2 2 2 3 5" xfId="22822"/>
    <cellStyle name="Normal 3 2 2 2 4" xfId="5239"/>
    <cellStyle name="Normal 3 2 2 2 4 2" xfId="11481"/>
    <cellStyle name="Normal 3 2 2 2 4 3" xfId="17636"/>
    <cellStyle name="Normal 3 2 2 2 4 4" xfId="23763"/>
    <cellStyle name="Normal 3 2 2 2 5" xfId="8395"/>
    <cellStyle name="Normal 3 2 2 2 6" xfId="14861"/>
    <cellStyle name="Normal 3 2 2 2 7" xfId="20577"/>
    <cellStyle name="Normal 3 2 2 3" xfId="1156"/>
    <cellStyle name="Normal 3 2 3" xfId="1173"/>
    <cellStyle name="Normal 3 2 3 2" xfId="4292"/>
    <cellStyle name="Normal 3 2 3 3" xfId="4293"/>
    <cellStyle name="Normal 3 2 3 3 2" xfId="7382"/>
    <cellStyle name="Normal 3 2 3 3 2 2" xfId="13624"/>
    <cellStyle name="Normal 3 2 3 3 2 3" xfId="19779"/>
    <cellStyle name="Normal 3 2 3 3 2 4" xfId="25906"/>
    <cellStyle name="Normal 3 2 3 3 3" xfId="10537"/>
    <cellStyle name="Normal 3 2 3 3 4" xfId="16696"/>
    <cellStyle name="Normal 3 2 3 3 5" xfId="22824"/>
    <cellStyle name="Normal 3 2 4" xfId="1291"/>
    <cellStyle name="Normal 3 2 4 2" xfId="4295"/>
    <cellStyle name="Normal 3 2 4 2 2" xfId="7384"/>
    <cellStyle name="Normal 3 2 4 2 2 2" xfId="13626"/>
    <cellStyle name="Normal 3 2 4 2 2 3" xfId="19781"/>
    <cellStyle name="Normal 3 2 4 2 2 4" xfId="25908"/>
    <cellStyle name="Normal 3 2 4 2 3" xfId="10539"/>
    <cellStyle name="Normal 3 2 4 2 4" xfId="16698"/>
    <cellStyle name="Normal 3 2 4 2 5" xfId="22826"/>
    <cellStyle name="Normal 3 2 4 3" xfId="4294"/>
    <cellStyle name="Normal 3 2 4 3 2" xfId="7383"/>
    <cellStyle name="Normal 3 2 4 3 2 2" xfId="13625"/>
    <cellStyle name="Normal 3 2 4 3 2 3" xfId="19780"/>
    <cellStyle name="Normal 3 2 4 3 2 4" xfId="25907"/>
    <cellStyle name="Normal 3 2 4 3 3" xfId="10538"/>
    <cellStyle name="Normal 3 2 4 3 4" xfId="16697"/>
    <cellStyle name="Normal 3 2 4 3 5" xfId="22825"/>
    <cellStyle name="Normal 3 2 4 4" xfId="5219"/>
    <cellStyle name="Normal 3 2 4 4 2" xfId="11461"/>
    <cellStyle name="Normal 3 2 4 4 3" xfId="17616"/>
    <cellStyle name="Normal 3 2 4 4 4" xfId="23743"/>
    <cellStyle name="Normal 3 2 4 5" xfId="8375"/>
    <cellStyle name="Normal 3 2 4 6" xfId="14862"/>
    <cellStyle name="Normal 3 2 4 7" xfId="20557"/>
    <cellStyle name="Normal 3 2 5" xfId="1648"/>
    <cellStyle name="Normal 3 2 6" xfId="401"/>
    <cellStyle name="Normal 3 2 6 2" xfId="4297"/>
    <cellStyle name="Normal 3 2 6 2 2" xfId="7386"/>
    <cellStyle name="Normal 3 2 6 2 2 2" xfId="13628"/>
    <cellStyle name="Normal 3 2 6 2 2 3" xfId="19783"/>
    <cellStyle name="Normal 3 2 6 2 2 4" xfId="25910"/>
    <cellStyle name="Normal 3 2 6 2 3" xfId="10541"/>
    <cellStyle name="Normal 3 2 6 2 4" xfId="16700"/>
    <cellStyle name="Normal 3 2 6 2 5" xfId="22828"/>
    <cellStyle name="Normal 3 2 6 3" xfId="4296"/>
    <cellStyle name="Normal 3 2 6 3 2" xfId="7385"/>
    <cellStyle name="Normal 3 2 6 3 2 2" xfId="13627"/>
    <cellStyle name="Normal 3 2 6 3 2 3" xfId="19782"/>
    <cellStyle name="Normal 3 2 6 3 2 4" xfId="25909"/>
    <cellStyle name="Normal 3 2 6 3 3" xfId="10540"/>
    <cellStyle name="Normal 3 2 6 3 4" xfId="16699"/>
    <cellStyle name="Normal 3 2 6 3 5" xfId="22827"/>
    <cellStyle name="Normal 3 2 6 4" xfId="5079"/>
    <cellStyle name="Normal 3 2 6 4 2" xfId="11322"/>
    <cellStyle name="Normal 3 2 6 4 3" xfId="17477"/>
    <cellStyle name="Normal 3 2 6 4 4" xfId="23604"/>
    <cellStyle name="Normal 3 2 6 5" xfId="8237"/>
    <cellStyle name="Normal 3 2 6 6" xfId="14863"/>
    <cellStyle name="Normal 3 2 6 7" xfId="20424"/>
    <cellStyle name="Normal 3 2 7" xfId="265"/>
    <cellStyle name="Normal 3 2 7 2" xfId="4299"/>
    <cellStyle name="Normal 3 2 7 2 2" xfId="7388"/>
    <cellStyle name="Normal 3 2 7 2 2 2" xfId="13630"/>
    <cellStyle name="Normal 3 2 7 2 2 3" xfId="19785"/>
    <cellStyle name="Normal 3 2 7 2 2 4" xfId="25912"/>
    <cellStyle name="Normal 3 2 7 2 3" xfId="10543"/>
    <cellStyle name="Normal 3 2 7 2 4" xfId="16702"/>
    <cellStyle name="Normal 3 2 7 2 5" xfId="22830"/>
    <cellStyle name="Normal 3 2 7 3" xfId="4298"/>
    <cellStyle name="Normal 3 2 7 3 2" xfId="7387"/>
    <cellStyle name="Normal 3 2 7 3 2 2" xfId="13629"/>
    <cellStyle name="Normal 3 2 7 3 2 3" xfId="19784"/>
    <cellStyle name="Normal 3 2 7 3 2 4" xfId="25911"/>
    <cellStyle name="Normal 3 2 7 3 3" xfId="10542"/>
    <cellStyle name="Normal 3 2 7 3 4" xfId="16701"/>
    <cellStyle name="Normal 3 2 7 3 5" xfId="22829"/>
    <cellStyle name="Normal 3 2 7 4" xfId="5045"/>
    <cellStyle name="Normal 3 2 7 4 2" xfId="11288"/>
    <cellStyle name="Normal 3 2 7 4 3" xfId="17443"/>
    <cellStyle name="Normal 3 2 7 4 4" xfId="23570"/>
    <cellStyle name="Normal 3 2 7 5" xfId="8203"/>
    <cellStyle name="Normal 3 2 7 6" xfId="14864"/>
    <cellStyle name="Normal 3 2 7 7" xfId="21198"/>
    <cellStyle name="Normal 3 2 8" xfId="4300"/>
    <cellStyle name="Normal 3 2 8 2" xfId="7389"/>
    <cellStyle name="Normal 3 2 8 2 2" xfId="13631"/>
    <cellStyle name="Normal 3 2 8 2 3" xfId="19786"/>
    <cellStyle name="Normal 3 2 8 2 4" xfId="25913"/>
    <cellStyle name="Normal 3 2 8 3" xfId="10544"/>
    <cellStyle name="Normal 3 2 8 4" xfId="16703"/>
    <cellStyle name="Normal 3 2 8 5" xfId="22831"/>
    <cellStyle name="Normal 3 2 9" xfId="4301"/>
    <cellStyle name="Normal 3 2 9 2" xfId="7390"/>
    <cellStyle name="Normal 3 2 9 2 2" xfId="13632"/>
    <cellStyle name="Normal 3 2 9 2 3" xfId="19787"/>
    <cellStyle name="Normal 3 2 9 2 4" xfId="25914"/>
    <cellStyle name="Normal 3 2 9 3" xfId="10545"/>
    <cellStyle name="Normal 3 2 9 4" xfId="16704"/>
    <cellStyle name="Normal 3 2 9 5" xfId="22832"/>
    <cellStyle name="Normal 3 20" xfId="8110"/>
    <cellStyle name="Normal 3 21" xfId="14858"/>
    <cellStyle name="Normal 3 22" xfId="20390"/>
    <cellStyle name="Normal 3 3" xfId="179"/>
    <cellStyle name="Normal 3 3 10" xfId="14865"/>
    <cellStyle name="Normal 3 3 11" xfId="20405"/>
    <cellStyle name="Normal 3 3 2" xfId="1157"/>
    <cellStyle name="Normal 3 3 2 2" xfId="2075"/>
    <cellStyle name="Normal 3 3 2 3" xfId="4302"/>
    <cellStyle name="Normal 3 3 2 4" xfId="4303"/>
    <cellStyle name="Normal 3 3 2 4 2" xfId="7391"/>
    <cellStyle name="Normal 3 3 2 4 2 2" xfId="13633"/>
    <cellStyle name="Normal 3 3 2 4 2 3" xfId="19788"/>
    <cellStyle name="Normal 3 3 2 4 2 4" xfId="25915"/>
    <cellStyle name="Normal 3 3 2 4 3" xfId="10546"/>
    <cellStyle name="Normal 3 3 2 4 4" xfId="16705"/>
    <cellStyle name="Normal 3 3 2 4 5" xfId="22833"/>
    <cellStyle name="Normal 3 3 3" xfId="1273"/>
    <cellStyle name="Normal 3 3 3 2" xfId="4305"/>
    <cellStyle name="Normal 3 3 3 2 2" xfId="7393"/>
    <cellStyle name="Normal 3 3 3 2 2 2" xfId="13635"/>
    <cellStyle name="Normal 3 3 3 2 2 3" xfId="19790"/>
    <cellStyle name="Normal 3 3 3 2 2 4" xfId="25917"/>
    <cellStyle name="Normal 3 3 3 2 3" xfId="10548"/>
    <cellStyle name="Normal 3 3 3 2 4" xfId="16707"/>
    <cellStyle name="Normal 3 3 3 2 5" xfId="22835"/>
    <cellStyle name="Normal 3 3 3 3" xfId="4304"/>
    <cellStyle name="Normal 3 3 3 3 2" xfId="7392"/>
    <cellStyle name="Normal 3 3 3 3 2 2" xfId="13634"/>
    <cellStyle name="Normal 3 3 3 3 2 3" xfId="19789"/>
    <cellStyle name="Normal 3 3 3 3 2 4" xfId="25916"/>
    <cellStyle name="Normal 3 3 3 3 3" xfId="10547"/>
    <cellStyle name="Normal 3 3 3 3 4" xfId="16706"/>
    <cellStyle name="Normal 3 3 3 3 5" xfId="22834"/>
    <cellStyle name="Normal 3 3 3 4" xfId="5213"/>
    <cellStyle name="Normal 3 3 3 4 2" xfId="11455"/>
    <cellStyle name="Normal 3 3 3 4 3" xfId="17610"/>
    <cellStyle name="Normal 3 3 3 4 4" xfId="23737"/>
    <cellStyle name="Normal 3 3 3 5" xfId="8369"/>
    <cellStyle name="Normal 3 3 3 6" xfId="14866"/>
    <cellStyle name="Normal 3 3 3 7" xfId="20551"/>
    <cellStyle name="Normal 3 3 4" xfId="1800"/>
    <cellStyle name="Normal 3 3 4 2" xfId="4307"/>
    <cellStyle name="Normal 3 3 4 2 2" xfId="7395"/>
    <cellStyle name="Normal 3 3 4 2 2 2" xfId="13637"/>
    <cellStyle name="Normal 3 3 4 2 2 3" xfId="19792"/>
    <cellStyle name="Normal 3 3 4 2 2 4" xfId="25919"/>
    <cellStyle name="Normal 3 3 4 2 3" xfId="10550"/>
    <cellStyle name="Normal 3 3 4 2 4" xfId="16709"/>
    <cellStyle name="Normal 3 3 4 2 5" xfId="22837"/>
    <cellStyle name="Normal 3 3 4 3" xfId="4306"/>
    <cellStyle name="Normal 3 3 4 3 2" xfId="7394"/>
    <cellStyle name="Normal 3 3 4 3 2 2" xfId="13636"/>
    <cellStyle name="Normal 3 3 4 3 2 3" xfId="19791"/>
    <cellStyle name="Normal 3 3 4 3 2 4" xfId="25918"/>
    <cellStyle name="Normal 3 3 4 3 3" xfId="10549"/>
    <cellStyle name="Normal 3 3 4 3 4" xfId="16708"/>
    <cellStyle name="Normal 3 3 4 3 5" xfId="22836"/>
    <cellStyle name="Normal 3 3 4 4" xfId="5288"/>
    <cellStyle name="Normal 3 3 4 4 2" xfId="11530"/>
    <cellStyle name="Normal 3 3 4 4 3" xfId="17685"/>
    <cellStyle name="Normal 3 3 4 4 4" xfId="23812"/>
    <cellStyle name="Normal 3 3 4 5" xfId="8444"/>
    <cellStyle name="Normal 3 3 4 6" xfId="14867"/>
    <cellStyle name="Normal 3 3 4 7" xfId="20625"/>
    <cellStyle name="Normal 3 3 5" xfId="402"/>
    <cellStyle name="Normal 3 3 5 2" xfId="4309"/>
    <cellStyle name="Normal 3 3 5 2 2" xfId="7397"/>
    <cellStyle name="Normal 3 3 5 2 2 2" xfId="13639"/>
    <cellStyle name="Normal 3 3 5 2 2 3" xfId="19794"/>
    <cellStyle name="Normal 3 3 5 2 2 4" xfId="25921"/>
    <cellStyle name="Normal 3 3 5 2 3" xfId="10552"/>
    <cellStyle name="Normal 3 3 5 2 4" xfId="16711"/>
    <cellStyle name="Normal 3 3 5 2 5" xfId="22839"/>
    <cellStyle name="Normal 3 3 5 3" xfId="4308"/>
    <cellStyle name="Normal 3 3 5 3 2" xfId="7396"/>
    <cellStyle name="Normal 3 3 5 3 2 2" xfId="13638"/>
    <cellStyle name="Normal 3 3 5 3 2 3" xfId="19793"/>
    <cellStyle name="Normal 3 3 5 3 2 4" xfId="25920"/>
    <cellStyle name="Normal 3 3 5 3 3" xfId="10551"/>
    <cellStyle name="Normal 3 3 5 3 4" xfId="16710"/>
    <cellStyle name="Normal 3 3 5 3 5" xfId="22838"/>
    <cellStyle name="Normal 3 3 5 4" xfId="5080"/>
    <cellStyle name="Normal 3 3 5 4 2" xfId="11323"/>
    <cellStyle name="Normal 3 3 5 4 3" xfId="17478"/>
    <cellStyle name="Normal 3 3 5 4 4" xfId="23605"/>
    <cellStyle name="Normal 3 3 5 5" xfId="8238"/>
    <cellStyle name="Normal 3 3 5 6" xfId="14868"/>
    <cellStyle name="Normal 3 3 5 7" xfId="20425"/>
    <cellStyle name="Normal 3 3 6" xfId="291"/>
    <cellStyle name="Normal 3 3 6 2" xfId="4311"/>
    <cellStyle name="Normal 3 3 6 2 2" xfId="7399"/>
    <cellStyle name="Normal 3 3 6 2 2 2" xfId="13641"/>
    <cellStyle name="Normal 3 3 6 2 2 3" xfId="19796"/>
    <cellStyle name="Normal 3 3 6 2 2 4" xfId="25923"/>
    <cellStyle name="Normal 3 3 6 2 3" xfId="10554"/>
    <cellStyle name="Normal 3 3 6 2 4" xfId="16713"/>
    <cellStyle name="Normal 3 3 6 2 5" xfId="22841"/>
    <cellStyle name="Normal 3 3 6 3" xfId="4310"/>
    <cellStyle name="Normal 3 3 6 3 2" xfId="7398"/>
    <cellStyle name="Normal 3 3 6 3 2 2" xfId="13640"/>
    <cellStyle name="Normal 3 3 6 3 2 3" xfId="19795"/>
    <cellStyle name="Normal 3 3 6 3 2 4" xfId="25922"/>
    <cellStyle name="Normal 3 3 6 3 3" xfId="10553"/>
    <cellStyle name="Normal 3 3 6 3 4" xfId="16712"/>
    <cellStyle name="Normal 3 3 6 3 5" xfId="22840"/>
    <cellStyle name="Normal 3 3 6 4" xfId="5059"/>
    <cellStyle name="Normal 3 3 6 4 2" xfId="11302"/>
    <cellStyle name="Normal 3 3 6 4 3" xfId="17457"/>
    <cellStyle name="Normal 3 3 6 4 4" xfId="23584"/>
    <cellStyle name="Normal 3 3 6 5" xfId="8217"/>
    <cellStyle name="Normal 3 3 6 6" xfId="15111"/>
    <cellStyle name="Normal 3 3 6 7" xfId="21239"/>
    <cellStyle name="Normal 3 3 7" xfId="4312"/>
    <cellStyle name="Normal 3 3 7 2" xfId="7400"/>
    <cellStyle name="Normal 3 3 7 2 2" xfId="13642"/>
    <cellStyle name="Normal 3 3 7 2 3" xfId="19797"/>
    <cellStyle name="Normal 3 3 7 2 4" xfId="25924"/>
    <cellStyle name="Normal 3 3 7 3" xfId="8003"/>
    <cellStyle name="Normal 3 3 7 4" xfId="10555"/>
    <cellStyle name="Normal 3 3 7 5" xfId="16714"/>
    <cellStyle name="Normal 3 3 7 6" xfId="22842"/>
    <cellStyle name="Normal 3 3 8" xfId="8004"/>
    <cellStyle name="Normal 3 3 8 2" xfId="11094"/>
    <cellStyle name="Normal 3 3 8 3" xfId="17249"/>
    <cellStyle name="Normal 3 3 8 4" xfId="23376"/>
    <cellStyle name="Normal 3 3 9" xfId="14179"/>
    <cellStyle name="Normal 3 4" xfId="312"/>
    <cellStyle name="Normal 3 4 2" xfId="1158"/>
    <cellStyle name="Normal 3 4 2 2" xfId="2076"/>
    <cellStyle name="Normal 3 4 3" xfId="1290"/>
    <cellStyle name="Normal 3 4 3 2" xfId="4314"/>
    <cellStyle name="Normal 3 4 3 2 2" xfId="7402"/>
    <cellStyle name="Normal 3 4 3 2 2 2" xfId="13644"/>
    <cellStyle name="Normal 3 4 3 2 2 3" xfId="19799"/>
    <cellStyle name="Normal 3 4 3 2 2 4" xfId="25926"/>
    <cellStyle name="Normal 3 4 3 2 3" xfId="10557"/>
    <cellStyle name="Normal 3 4 3 2 4" xfId="16716"/>
    <cellStyle name="Normal 3 4 3 2 5" xfId="22844"/>
    <cellStyle name="Normal 3 4 3 3" xfId="4313"/>
    <cellStyle name="Normal 3 4 3 3 2" xfId="7401"/>
    <cellStyle name="Normal 3 4 3 3 2 2" xfId="13643"/>
    <cellStyle name="Normal 3 4 3 3 2 3" xfId="19798"/>
    <cellStyle name="Normal 3 4 3 3 2 4" xfId="25925"/>
    <cellStyle name="Normal 3 4 3 3 3" xfId="10556"/>
    <cellStyle name="Normal 3 4 3 3 4" xfId="16715"/>
    <cellStyle name="Normal 3 4 3 3 5" xfId="22843"/>
    <cellStyle name="Normal 3 4 3 4" xfId="5218"/>
    <cellStyle name="Normal 3 4 3 4 2" xfId="11460"/>
    <cellStyle name="Normal 3 4 3 4 3" xfId="17615"/>
    <cellStyle name="Normal 3 4 3 4 4" xfId="23742"/>
    <cellStyle name="Normal 3 4 3 5" xfId="8374"/>
    <cellStyle name="Normal 3 4 3 6" xfId="14869"/>
    <cellStyle name="Normal 3 4 3 7" xfId="20556"/>
    <cellStyle name="Normal 3 4 4" xfId="1914"/>
    <cellStyle name="Normal 3 4 4 2" xfId="4316"/>
    <cellStyle name="Normal 3 4 4 2 2" xfId="7404"/>
    <cellStyle name="Normal 3 4 4 2 2 2" xfId="13646"/>
    <cellStyle name="Normal 3 4 4 2 2 3" xfId="19801"/>
    <cellStyle name="Normal 3 4 4 2 2 4" xfId="25928"/>
    <cellStyle name="Normal 3 4 4 2 3" xfId="10559"/>
    <cellStyle name="Normal 3 4 4 2 4" xfId="16718"/>
    <cellStyle name="Normal 3 4 4 2 5" xfId="22846"/>
    <cellStyle name="Normal 3 4 4 3" xfId="4315"/>
    <cellStyle name="Normal 3 4 4 3 2" xfId="7403"/>
    <cellStyle name="Normal 3 4 4 3 2 2" xfId="13645"/>
    <cellStyle name="Normal 3 4 4 3 2 3" xfId="19800"/>
    <cellStyle name="Normal 3 4 4 3 2 4" xfId="25927"/>
    <cellStyle name="Normal 3 4 4 3 3" xfId="10558"/>
    <cellStyle name="Normal 3 4 4 3 4" xfId="16717"/>
    <cellStyle name="Normal 3 4 4 3 5" xfId="22845"/>
    <cellStyle name="Normal 3 4 4 4" xfId="5312"/>
    <cellStyle name="Normal 3 4 4 4 2" xfId="11554"/>
    <cellStyle name="Normal 3 4 4 4 3" xfId="17709"/>
    <cellStyle name="Normal 3 4 4 4 4" xfId="23836"/>
    <cellStyle name="Normal 3 4 4 5" xfId="8466"/>
    <cellStyle name="Normal 3 4 4 6" xfId="14870"/>
    <cellStyle name="Normal 3 4 4 7" xfId="20647"/>
    <cellStyle name="Normal 3 4 5" xfId="403"/>
    <cellStyle name="Normal 3 4 5 2" xfId="4318"/>
    <cellStyle name="Normal 3 4 5 2 2" xfId="7406"/>
    <cellStyle name="Normal 3 4 5 2 2 2" xfId="13648"/>
    <cellStyle name="Normal 3 4 5 2 2 3" xfId="19803"/>
    <cellStyle name="Normal 3 4 5 2 2 4" xfId="25930"/>
    <cellStyle name="Normal 3 4 5 2 3" xfId="10561"/>
    <cellStyle name="Normal 3 4 5 2 4" xfId="16720"/>
    <cellStyle name="Normal 3 4 5 2 5" xfId="22848"/>
    <cellStyle name="Normal 3 4 5 3" xfId="4317"/>
    <cellStyle name="Normal 3 4 5 3 2" xfId="7405"/>
    <cellStyle name="Normal 3 4 5 3 2 2" xfId="13647"/>
    <cellStyle name="Normal 3 4 5 3 2 3" xfId="19802"/>
    <cellStyle name="Normal 3 4 5 3 2 4" xfId="25929"/>
    <cellStyle name="Normal 3 4 5 3 3" xfId="10560"/>
    <cellStyle name="Normal 3 4 5 3 4" xfId="16719"/>
    <cellStyle name="Normal 3 4 5 3 5" xfId="22847"/>
    <cellStyle name="Normal 3 4 5 4" xfId="5081"/>
    <cellStyle name="Normal 3 4 5 4 2" xfId="11324"/>
    <cellStyle name="Normal 3 4 5 4 3" xfId="17479"/>
    <cellStyle name="Normal 3 4 5 4 4" xfId="23606"/>
    <cellStyle name="Normal 3 4 5 5" xfId="8239"/>
    <cellStyle name="Normal 3 4 5 6" xfId="14871"/>
    <cellStyle name="Normal 3 4 5 7" xfId="20426"/>
    <cellStyle name="Normal 3 5" xfId="322"/>
    <cellStyle name="Normal 3 5 2" xfId="1159"/>
    <cellStyle name="Normal 3 5 2 2" xfId="2077"/>
    <cellStyle name="Normal 3 5 3" xfId="1300"/>
    <cellStyle name="Normal 3 5 3 2" xfId="4320"/>
    <cellStyle name="Normal 3 5 3 2 2" xfId="7408"/>
    <cellStyle name="Normal 3 5 3 2 2 2" xfId="13650"/>
    <cellStyle name="Normal 3 5 3 2 2 3" xfId="19805"/>
    <cellStyle name="Normal 3 5 3 2 2 4" xfId="25932"/>
    <cellStyle name="Normal 3 5 3 2 3" xfId="10563"/>
    <cellStyle name="Normal 3 5 3 2 4" xfId="16722"/>
    <cellStyle name="Normal 3 5 3 2 5" xfId="22850"/>
    <cellStyle name="Normal 3 5 3 3" xfId="4319"/>
    <cellStyle name="Normal 3 5 3 3 2" xfId="7407"/>
    <cellStyle name="Normal 3 5 3 3 2 2" xfId="13649"/>
    <cellStyle name="Normal 3 5 3 3 2 3" xfId="19804"/>
    <cellStyle name="Normal 3 5 3 3 2 4" xfId="25931"/>
    <cellStyle name="Normal 3 5 3 3 3" xfId="10562"/>
    <cellStyle name="Normal 3 5 3 3 4" xfId="16721"/>
    <cellStyle name="Normal 3 5 3 3 5" xfId="22849"/>
    <cellStyle name="Normal 3 5 3 4" xfId="5222"/>
    <cellStyle name="Normal 3 5 3 4 2" xfId="11464"/>
    <cellStyle name="Normal 3 5 3 4 3" xfId="17619"/>
    <cellStyle name="Normal 3 5 3 4 4" xfId="23746"/>
    <cellStyle name="Normal 3 5 3 5" xfId="8378"/>
    <cellStyle name="Normal 3 5 3 6" xfId="14872"/>
    <cellStyle name="Normal 3 5 3 7" xfId="20560"/>
    <cellStyle name="Normal 3 5 4" xfId="1633"/>
    <cellStyle name="Normal 3 5 4 2" xfId="4322"/>
    <cellStyle name="Normal 3 5 4 2 2" xfId="7410"/>
    <cellStyle name="Normal 3 5 4 2 2 2" xfId="13652"/>
    <cellStyle name="Normal 3 5 4 2 2 3" xfId="19807"/>
    <cellStyle name="Normal 3 5 4 2 2 4" xfId="25934"/>
    <cellStyle name="Normal 3 5 4 2 3" xfId="10565"/>
    <cellStyle name="Normal 3 5 4 2 4" xfId="16724"/>
    <cellStyle name="Normal 3 5 4 2 5" xfId="22852"/>
    <cellStyle name="Normal 3 5 4 3" xfId="4321"/>
    <cellStyle name="Normal 3 5 4 3 2" xfId="7409"/>
    <cellStyle name="Normal 3 5 4 3 2 2" xfId="13651"/>
    <cellStyle name="Normal 3 5 4 3 2 3" xfId="19806"/>
    <cellStyle name="Normal 3 5 4 3 2 4" xfId="25933"/>
    <cellStyle name="Normal 3 5 4 3 3" xfId="10564"/>
    <cellStyle name="Normal 3 5 4 3 4" xfId="16723"/>
    <cellStyle name="Normal 3 5 4 3 5" xfId="22851"/>
    <cellStyle name="Normal 3 5 4 4" xfId="5264"/>
    <cellStyle name="Normal 3 5 4 4 2" xfId="11506"/>
    <cellStyle name="Normal 3 5 4 4 3" xfId="17661"/>
    <cellStyle name="Normal 3 5 4 4 4" xfId="23788"/>
    <cellStyle name="Normal 3 5 4 5" xfId="8420"/>
    <cellStyle name="Normal 3 5 4 6" xfId="14873"/>
    <cellStyle name="Normal 3 5 4 7" xfId="20601"/>
    <cellStyle name="Normal 3 5 5" xfId="404"/>
    <cellStyle name="Normal 3 5 5 2" xfId="4324"/>
    <cellStyle name="Normal 3 5 5 2 2" xfId="7412"/>
    <cellStyle name="Normal 3 5 5 2 2 2" xfId="13654"/>
    <cellStyle name="Normal 3 5 5 2 2 3" xfId="19809"/>
    <cellStyle name="Normal 3 5 5 2 2 4" xfId="25936"/>
    <cellStyle name="Normal 3 5 5 2 3" xfId="10567"/>
    <cellStyle name="Normal 3 5 5 2 4" xfId="16726"/>
    <cellStyle name="Normal 3 5 5 2 5" xfId="22854"/>
    <cellStyle name="Normal 3 5 5 3" xfId="4323"/>
    <cellStyle name="Normal 3 5 5 3 2" xfId="7411"/>
    <cellStyle name="Normal 3 5 5 3 2 2" xfId="13653"/>
    <cellStyle name="Normal 3 5 5 3 2 3" xfId="19808"/>
    <cellStyle name="Normal 3 5 5 3 2 4" xfId="25935"/>
    <cellStyle name="Normal 3 5 5 3 3" xfId="10566"/>
    <cellStyle name="Normal 3 5 5 3 4" xfId="16725"/>
    <cellStyle name="Normal 3 5 5 3 5" xfId="22853"/>
    <cellStyle name="Normal 3 5 5 4" xfId="5082"/>
    <cellStyle name="Normal 3 5 5 4 2" xfId="11325"/>
    <cellStyle name="Normal 3 5 5 4 3" xfId="17480"/>
    <cellStyle name="Normal 3 5 5 4 4" xfId="23607"/>
    <cellStyle name="Normal 3 5 5 5" xfId="8240"/>
    <cellStyle name="Normal 3 5 5 6" xfId="14874"/>
    <cellStyle name="Normal 3 5 5 7" xfId="20427"/>
    <cellStyle name="Normal 3 5 6" xfId="4325"/>
    <cellStyle name="Normal 3 5 7" xfId="4326"/>
    <cellStyle name="Normal 3 5 7 2" xfId="7413"/>
    <cellStyle name="Normal 3 5 7 2 2" xfId="13655"/>
    <cellStyle name="Normal 3 5 7 2 3" xfId="19810"/>
    <cellStyle name="Normal 3 5 7 2 4" xfId="25937"/>
    <cellStyle name="Normal 3 5 7 3" xfId="10568"/>
    <cellStyle name="Normal 3 5 7 4" xfId="16727"/>
    <cellStyle name="Normal 3 5 7 5" xfId="22855"/>
    <cellStyle name="Normal 3 6" xfId="838"/>
    <cellStyle name="Normal 3 6 2" xfId="1160"/>
    <cellStyle name="Normal 3 6 2 2" xfId="2078"/>
    <cellStyle name="Normal 3 6 3" xfId="1297"/>
    <cellStyle name="Normal 3 6 4" xfId="1820"/>
    <cellStyle name="Normal 3 7" xfId="1182"/>
    <cellStyle name="Normal 3 7 2" xfId="2074"/>
    <cellStyle name="Normal 3 7 2 2" xfId="4327"/>
    <cellStyle name="Normal 3 7 3" xfId="4328"/>
    <cellStyle name="Normal 3 7 4" xfId="4329"/>
    <cellStyle name="Normal 3 8" xfId="1176"/>
    <cellStyle name="Normal 3 9" xfId="1217"/>
    <cellStyle name="Normal 30" xfId="1598"/>
    <cellStyle name="Normal 31" xfId="1832"/>
    <cellStyle name="Normal 32" xfId="1502"/>
    <cellStyle name="Normal 32 2" xfId="4331"/>
    <cellStyle name="Normal 32 2 2" xfId="7415"/>
    <cellStyle name="Normal 32 2 2 2" xfId="13657"/>
    <cellStyle name="Normal 32 2 2 3" xfId="19812"/>
    <cellStyle name="Normal 32 2 2 4" xfId="25939"/>
    <cellStyle name="Normal 32 2 3" xfId="10570"/>
    <cellStyle name="Normal 32 2 4" xfId="16729"/>
    <cellStyle name="Normal 32 2 5" xfId="22857"/>
    <cellStyle name="Normal 32 3" xfId="4330"/>
    <cellStyle name="Normal 32 3 2" xfId="7414"/>
    <cellStyle name="Normal 32 3 2 2" xfId="13656"/>
    <cellStyle name="Normal 32 3 2 3" xfId="19811"/>
    <cellStyle name="Normal 32 3 2 4" xfId="25938"/>
    <cellStyle name="Normal 32 3 3" xfId="10569"/>
    <cellStyle name="Normal 32 3 4" xfId="16728"/>
    <cellStyle name="Normal 32 3 5" xfId="22856"/>
    <cellStyle name="Normal 32 4" xfId="5245"/>
    <cellStyle name="Normal 32 4 2" xfId="11487"/>
    <cellStyle name="Normal 32 4 3" xfId="17642"/>
    <cellStyle name="Normal 32 4 4" xfId="23769"/>
    <cellStyle name="Normal 32 5" xfId="8401"/>
    <cellStyle name="Normal 32 6" xfId="14875"/>
    <cellStyle name="Normal 32 7" xfId="20583"/>
    <cellStyle name="Normal 33" xfId="1896"/>
    <cellStyle name="Normal 33 2" xfId="4333"/>
    <cellStyle name="Normal 33 2 2" xfId="7417"/>
    <cellStyle name="Normal 33 2 2 2" xfId="13659"/>
    <cellStyle name="Normal 33 2 2 3" xfId="19814"/>
    <cellStyle name="Normal 33 2 2 4" xfId="25941"/>
    <cellStyle name="Normal 33 2 3" xfId="10572"/>
    <cellStyle name="Normal 33 2 4" xfId="16731"/>
    <cellStyle name="Normal 33 2 5" xfId="22859"/>
    <cellStyle name="Normal 33 3" xfId="4332"/>
    <cellStyle name="Normal 33 3 2" xfId="7416"/>
    <cellStyle name="Normal 33 3 2 2" xfId="13658"/>
    <cellStyle name="Normal 33 3 2 3" xfId="19813"/>
    <cellStyle name="Normal 33 3 2 4" xfId="25940"/>
    <cellStyle name="Normal 33 3 3" xfId="10571"/>
    <cellStyle name="Normal 33 3 4" xfId="16730"/>
    <cellStyle name="Normal 33 3 5" xfId="22858"/>
    <cellStyle name="Normal 33 4" xfId="5306"/>
    <cellStyle name="Normal 33 4 2" xfId="11548"/>
    <cellStyle name="Normal 33 4 3" xfId="17703"/>
    <cellStyle name="Normal 33 4 4" xfId="23830"/>
    <cellStyle name="Normal 33 5" xfId="8461"/>
    <cellStyle name="Normal 33 6" xfId="14876"/>
    <cellStyle name="Normal 33 7" xfId="20642"/>
    <cellStyle name="Normal 34" xfId="1448"/>
    <cellStyle name="Normal 34 2" xfId="4335"/>
    <cellStyle name="Normal 34 2 2" xfId="7419"/>
    <cellStyle name="Normal 34 2 2 2" xfId="13661"/>
    <cellStyle name="Normal 34 2 2 3" xfId="19816"/>
    <cellStyle name="Normal 34 2 2 4" xfId="25943"/>
    <cellStyle name="Normal 34 2 3" xfId="10574"/>
    <cellStyle name="Normal 34 2 4" xfId="16733"/>
    <cellStyle name="Normal 34 2 5" xfId="22861"/>
    <cellStyle name="Normal 34 3" xfId="4334"/>
    <cellStyle name="Normal 34 3 2" xfId="7418"/>
    <cellStyle name="Normal 34 3 2 2" xfId="13660"/>
    <cellStyle name="Normal 34 3 2 3" xfId="19815"/>
    <cellStyle name="Normal 34 3 2 4" xfId="25942"/>
    <cellStyle name="Normal 34 3 3" xfId="10573"/>
    <cellStyle name="Normal 34 3 4" xfId="16732"/>
    <cellStyle name="Normal 34 3 5" xfId="22860"/>
    <cellStyle name="Normal 34 4" xfId="5236"/>
    <cellStyle name="Normal 34 4 2" xfId="11478"/>
    <cellStyle name="Normal 34 4 3" xfId="17633"/>
    <cellStyle name="Normal 34 4 4" xfId="23760"/>
    <cellStyle name="Normal 34 5" xfId="8392"/>
    <cellStyle name="Normal 34 6" xfId="14877"/>
    <cellStyle name="Normal 34 7" xfId="20574"/>
    <cellStyle name="Normal 35" xfId="1814"/>
    <cellStyle name="Normal 36" xfId="1558"/>
    <cellStyle name="Normal 37" xfId="1662"/>
    <cellStyle name="Normal 38" xfId="1426"/>
    <cellStyle name="Normal 39" xfId="1857"/>
    <cellStyle name="Normal 4" xfId="28"/>
    <cellStyle name="Normal 4 10" xfId="1220"/>
    <cellStyle name="Normal 4 11" xfId="487"/>
    <cellStyle name="Normal 4 12" xfId="1335"/>
    <cellStyle name="Normal 4 13" xfId="1869"/>
    <cellStyle name="Normal 4 14" xfId="405"/>
    <cellStyle name="Normal 4 15" xfId="4867"/>
    <cellStyle name="Normal 4 2" xfId="156"/>
    <cellStyle name="Normal 4 2 10" xfId="4337"/>
    <cellStyle name="Normal 4 2 10 2" xfId="7421"/>
    <cellStyle name="Normal 4 2 10 2 2" xfId="13663"/>
    <cellStyle name="Normal 4 2 10 2 3" xfId="19818"/>
    <cellStyle name="Normal 4 2 10 2 4" xfId="25945"/>
    <cellStyle name="Normal 4 2 10 3" xfId="10576"/>
    <cellStyle name="Normal 4 2 10 4" xfId="16735"/>
    <cellStyle name="Normal 4 2 10 5" xfId="22863"/>
    <cellStyle name="Normal 4 2 11" xfId="4336"/>
    <cellStyle name="Normal 4 2 11 2" xfId="7420"/>
    <cellStyle name="Normal 4 2 11 2 2" xfId="13662"/>
    <cellStyle name="Normal 4 2 11 2 3" xfId="19817"/>
    <cellStyle name="Normal 4 2 11 2 4" xfId="25944"/>
    <cellStyle name="Normal 4 2 11 3" xfId="10575"/>
    <cellStyle name="Normal 4 2 11 4" xfId="16734"/>
    <cellStyle name="Normal 4 2 11 5" xfId="22862"/>
    <cellStyle name="Normal 4 2 12" xfId="4954"/>
    <cellStyle name="Normal 4 2 12 2" xfId="11198"/>
    <cellStyle name="Normal 4 2 12 3" xfId="17353"/>
    <cellStyle name="Normal 4 2 12 4" xfId="23480"/>
    <cellStyle name="Normal 4 2 13" xfId="8112"/>
    <cellStyle name="Normal 4 2 14" xfId="14878"/>
    <cellStyle name="Normal 4 2 15" xfId="20392"/>
    <cellStyle name="Normal 4 2 2" xfId="300"/>
    <cellStyle name="Normal 4 2 2 2" xfId="848"/>
    <cellStyle name="Normal 4 2 2 2 2" xfId="4339"/>
    <cellStyle name="Normal 4 2 2 2 3" xfId="4340"/>
    <cellStyle name="Normal 4 2 2 2 3 2" xfId="7423"/>
    <cellStyle name="Normal 4 2 2 2 3 2 2" xfId="13665"/>
    <cellStyle name="Normal 4 2 2 2 3 2 3" xfId="19820"/>
    <cellStyle name="Normal 4 2 2 2 3 2 4" xfId="25947"/>
    <cellStyle name="Normal 4 2 2 2 3 3" xfId="10578"/>
    <cellStyle name="Normal 4 2 2 2 3 4" xfId="16737"/>
    <cellStyle name="Normal 4 2 2 2 3 5" xfId="22865"/>
    <cellStyle name="Normal 4 2 2 3" xfId="4341"/>
    <cellStyle name="Normal 4 2 2 3 2" xfId="7424"/>
    <cellStyle name="Normal 4 2 2 3 2 2" xfId="13666"/>
    <cellStyle name="Normal 4 2 2 3 2 3" xfId="19821"/>
    <cellStyle name="Normal 4 2 2 3 2 4" xfId="25948"/>
    <cellStyle name="Normal 4 2 2 3 3" xfId="10579"/>
    <cellStyle name="Normal 4 2 2 3 4" xfId="16738"/>
    <cellStyle name="Normal 4 2 2 3 5" xfId="22866"/>
    <cellStyle name="Normal 4 2 2 4" xfId="4342"/>
    <cellStyle name="Normal 4 2 2 4 2" xfId="7425"/>
    <cellStyle name="Normal 4 2 2 4 2 2" xfId="13667"/>
    <cellStyle name="Normal 4 2 2 4 2 3" xfId="19822"/>
    <cellStyle name="Normal 4 2 2 4 2 4" xfId="25949"/>
    <cellStyle name="Normal 4 2 2 4 3" xfId="10580"/>
    <cellStyle name="Normal 4 2 2 4 4" xfId="16739"/>
    <cellStyle name="Normal 4 2 2 4 5" xfId="22867"/>
    <cellStyle name="Normal 4 2 2 5" xfId="4338"/>
    <cellStyle name="Normal 4 2 2 5 2" xfId="7422"/>
    <cellStyle name="Normal 4 2 2 5 2 2" xfId="13664"/>
    <cellStyle name="Normal 4 2 2 5 2 3" xfId="19819"/>
    <cellStyle name="Normal 4 2 2 5 2 4" xfId="25946"/>
    <cellStyle name="Normal 4 2 2 5 3" xfId="10577"/>
    <cellStyle name="Normal 4 2 2 5 4" xfId="16736"/>
    <cellStyle name="Normal 4 2 2 5 5" xfId="22864"/>
    <cellStyle name="Normal 4 2 2 6" xfId="5061"/>
    <cellStyle name="Normal 4 2 2 6 2" xfId="11304"/>
    <cellStyle name="Normal 4 2 2 6 3" xfId="17459"/>
    <cellStyle name="Normal 4 2 2 6 4" xfId="23586"/>
    <cellStyle name="Normal 4 2 2 7" xfId="8219"/>
    <cellStyle name="Normal 4 2 2 8" xfId="14879"/>
    <cellStyle name="Normal 4 2 2 9" xfId="20407"/>
    <cellStyle name="Normal 4 2 3" xfId="1200"/>
    <cellStyle name="Normal 4 2 3 2" xfId="4343"/>
    <cellStyle name="Normal 4 2 3 3" xfId="4344"/>
    <cellStyle name="Normal 4 2 3 3 2" xfId="7426"/>
    <cellStyle name="Normal 4 2 3 3 2 2" xfId="13668"/>
    <cellStyle name="Normal 4 2 3 3 2 3" xfId="19823"/>
    <cellStyle name="Normal 4 2 3 3 2 4" xfId="25950"/>
    <cellStyle name="Normal 4 2 3 3 3" xfId="10581"/>
    <cellStyle name="Normal 4 2 3 3 4" xfId="16740"/>
    <cellStyle name="Normal 4 2 3 3 5" xfId="22868"/>
    <cellStyle name="Normal 4 2 4" xfId="817"/>
    <cellStyle name="Normal 4 2 4 2" xfId="4346"/>
    <cellStyle name="Normal 4 2 4 2 2" xfId="7428"/>
    <cellStyle name="Normal 4 2 4 2 2 2" xfId="13670"/>
    <cellStyle name="Normal 4 2 4 2 2 3" xfId="19825"/>
    <cellStyle name="Normal 4 2 4 2 2 4" xfId="25952"/>
    <cellStyle name="Normal 4 2 4 2 3" xfId="10583"/>
    <cellStyle name="Normal 4 2 4 2 4" xfId="16742"/>
    <cellStyle name="Normal 4 2 4 2 5" xfId="22870"/>
    <cellStyle name="Normal 4 2 4 3" xfId="4345"/>
    <cellStyle name="Normal 4 2 4 3 2" xfId="7427"/>
    <cellStyle name="Normal 4 2 4 3 2 2" xfId="13669"/>
    <cellStyle name="Normal 4 2 4 3 2 3" xfId="19824"/>
    <cellStyle name="Normal 4 2 4 3 2 4" xfId="25951"/>
    <cellStyle name="Normal 4 2 4 3 3" xfId="10582"/>
    <cellStyle name="Normal 4 2 4 3 4" xfId="16741"/>
    <cellStyle name="Normal 4 2 4 3 5" xfId="22869"/>
    <cellStyle name="Normal 4 2 4 4" xfId="5166"/>
    <cellStyle name="Normal 4 2 4 4 2" xfId="11409"/>
    <cellStyle name="Normal 4 2 4 4 3" xfId="17564"/>
    <cellStyle name="Normal 4 2 4 4 4" xfId="23691"/>
    <cellStyle name="Normal 4 2 4 5" xfId="8323"/>
    <cellStyle name="Normal 4 2 4 6" xfId="14880"/>
    <cellStyle name="Normal 4 2 4 7" xfId="20506"/>
    <cellStyle name="Normal 4 2 5" xfId="1341"/>
    <cellStyle name="Normal 4 2 5 2" xfId="4348"/>
    <cellStyle name="Normal 4 2 5 2 2" xfId="7430"/>
    <cellStyle name="Normal 4 2 5 2 2 2" xfId="13672"/>
    <cellStyle name="Normal 4 2 5 2 2 3" xfId="19827"/>
    <cellStyle name="Normal 4 2 5 2 2 4" xfId="25954"/>
    <cellStyle name="Normal 4 2 5 2 3" xfId="10585"/>
    <cellStyle name="Normal 4 2 5 2 4" xfId="16744"/>
    <cellStyle name="Normal 4 2 5 2 5" xfId="22872"/>
    <cellStyle name="Normal 4 2 5 3" xfId="4347"/>
    <cellStyle name="Normal 4 2 5 3 2" xfId="7429"/>
    <cellStyle name="Normal 4 2 5 3 2 2" xfId="13671"/>
    <cellStyle name="Normal 4 2 5 3 2 3" xfId="19826"/>
    <cellStyle name="Normal 4 2 5 3 2 4" xfId="25953"/>
    <cellStyle name="Normal 4 2 5 3 3" xfId="10584"/>
    <cellStyle name="Normal 4 2 5 3 4" xfId="16743"/>
    <cellStyle name="Normal 4 2 5 3 5" xfId="22871"/>
    <cellStyle name="Normal 4 2 5 4" xfId="5227"/>
    <cellStyle name="Normal 4 2 5 4 2" xfId="11469"/>
    <cellStyle name="Normal 4 2 5 4 3" xfId="17624"/>
    <cellStyle name="Normal 4 2 5 4 4" xfId="23751"/>
    <cellStyle name="Normal 4 2 5 5" xfId="8383"/>
    <cellStyle name="Normal 4 2 5 6" xfId="14881"/>
    <cellStyle name="Normal 4 2 5 7" xfId="20565"/>
    <cellStyle name="Normal 4 2 6" xfId="1825"/>
    <cellStyle name="Normal 4 2 7" xfId="406"/>
    <cellStyle name="Normal 4 2 8" xfId="266"/>
    <cellStyle name="Normal 4 2 8 2" xfId="4350"/>
    <cellStyle name="Normal 4 2 8 2 2" xfId="7432"/>
    <cellStyle name="Normal 4 2 8 2 2 2" xfId="13674"/>
    <cellStyle name="Normal 4 2 8 2 2 3" xfId="19829"/>
    <cellStyle name="Normal 4 2 8 2 2 4" xfId="25956"/>
    <cellStyle name="Normal 4 2 8 2 3" xfId="10587"/>
    <cellStyle name="Normal 4 2 8 2 4" xfId="16746"/>
    <cellStyle name="Normal 4 2 8 2 5" xfId="22874"/>
    <cellStyle name="Normal 4 2 8 3" xfId="4349"/>
    <cellStyle name="Normal 4 2 8 3 2" xfId="7431"/>
    <cellStyle name="Normal 4 2 8 3 2 2" xfId="13673"/>
    <cellStyle name="Normal 4 2 8 3 2 3" xfId="19828"/>
    <cellStyle name="Normal 4 2 8 3 2 4" xfId="25955"/>
    <cellStyle name="Normal 4 2 8 3 3" xfId="10586"/>
    <cellStyle name="Normal 4 2 8 3 4" xfId="16745"/>
    <cellStyle name="Normal 4 2 8 3 5" xfId="22873"/>
    <cellStyle name="Normal 4 2 8 4" xfId="5046"/>
    <cellStyle name="Normal 4 2 8 4 2" xfId="11289"/>
    <cellStyle name="Normal 4 2 8 4 3" xfId="17444"/>
    <cellStyle name="Normal 4 2 8 4 4" xfId="23571"/>
    <cellStyle name="Normal 4 2 8 5" xfId="8204"/>
    <cellStyle name="Normal 4 2 8 6" xfId="14882"/>
    <cellStyle name="Normal 4 2 8 7" xfId="21199"/>
    <cellStyle name="Normal 4 2 9" xfId="4351"/>
    <cellStyle name="Normal 4 2 9 2" xfId="7433"/>
    <cellStyle name="Normal 4 2 9 2 2" xfId="13675"/>
    <cellStyle name="Normal 4 2 9 2 3" xfId="19830"/>
    <cellStyle name="Normal 4 2 9 2 4" xfId="25957"/>
    <cellStyle name="Normal 4 2 9 3" xfId="10588"/>
    <cellStyle name="Normal 4 2 9 4" xfId="16747"/>
    <cellStyle name="Normal 4 2 9 5" xfId="22875"/>
    <cellStyle name="Normal 4 3" xfId="180"/>
    <cellStyle name="Normal 4 3 10" xfId="14180"/>
    <cellStyle name="Normal 4 3 11" xfId="14883"/>
    <cellStyle name="Normal 4 3 12" xfId="20406"/>
    <cellStyle name="Normal 4 3 2" xfId="859"/>
    <cellStyle name="Normal 4 3 2 2" xfId="4352"/>
    <cellStyle name="Normal 4 3 2 3" xfId="4353"/>
    <cellStyle name="Normal 4 3 2 3 2" xfId="7434"/>
    <cellStyle name="Normal 4 3 2 3 2 2" xfId="13676"/>
    <cellStyle name="Normal 4 3 2 3 2 3" xfId="19831"/>
    <cellStyle name="Normal 4 3 2 3 2 4" xfId="25958"/>
    <cellStyle name="Normal 4 3 2 3 3" xfId="10589"/>
    <cellStyle name="Normal 4 3 2 3 4" xfId="16748"/>
    <cellStyle name="Normal 4 3 2 3 5" xfId="22876"/>
    <cellStyle name="Normal 4 3 3" xfId="818"/>
    <cellStyle name="Normal 4 3 4" xfId="1342"/>
    <cellStyle name="Normal 4 3 5" xfId="1647"/>
    <cellStyle name="Normal 4 3 6" xfId="1972"/>
    <cellStyle name="Normal 4 3 7" xfId="407"/>
    <cellStyle name="Normal 4 3 8" xfId="299"/>
    <cellStyle name="Normal 4 3 8 2" xfId="4355"/>
    <cellStyle name="Normal 4 3 8 2 2" xfId="7436"/>
    <cellStyle name="Normal 4 3 8 2 2 2" xfId="13678"/>
    <cellStyle name="Normal 4 3 8 2 2 3" xfId="19833"/>
    <cellStyle name="Normal 4 3 8 2 2 4" xfId="25960"/>
    <cellStyle name="Normal 4 3 8 2 3" xfId="10591"/>
    <cellStyle name="Normal 4 3 8 2 4" xfId="16750"/>
    <cellStyle name="Normal 4 3 8 2 5" xfId="22878"/>
    <cellStyle name="Normal 4 3 8 3" xfId="4354"/>
    <cellStyle name="Normal 4 3 8 3 2" xfId="7435"/>
    <cellStyle name="Normal 4 3 8 3 2 2" xfId="13677"/>
    <cellStyle name="Normal 4 3 8 3 2 3" xfId="19832"/>
    <cellStyle name="Normal 4 3 8 3 2 4" xfId="25959"/>
    <cellStyle name="Normal 4 3 8 3 3" xfId="10590"/>
    <cellStyle name="Normal 4 3 8 3 4" xfId="16749"/>
    <cellStyle name="Normal 4 3 8 3 5" xfId="22877"/>
    <cellStyle name="Normal 4 3 8 4" xfId="5060"/>
    <cellStyle name="Normal 4 3 8 4 2" xfId="11303"/>
    <cellStyle name="Normal 4 3 8 4 3" xfId="17458"/>
    <cellStyle name="Normal 4 3 8 4 4" xfId="23585"/>
    <cellStyle name="Normal 4 3 8 5" xfId="8218"/>
    <cellStyle name="Normal 4 3 8 6" xfId="15112"/>
    <cellStyle name="Normal 4 3 8 7" xfId="21240"/>
    <cellStyle name="Normal 4 3 9" xfId="4356"/>
    <cellStyle name="Normal 4 3 9 2" xfId="7437"/>
    <cellStyle name="Normal 4 3 9 2 2" xfId="13679"/>
    <cellStyle name="Normal 4 3 9 2 3" xfId="19834"/>
    <cellStyle name="Normal 4 3 9 2 4" xfId="25961"/>
    <cellStyle name="Normal 4 3 9 3" xfId="10592"/>
    <cellStyle name="Normal 4 3 9 4" xfId="16751"/>
    <cellStyle name="Normal 4 3 9 5" xfId="22879"/>
    <cellStyle name="Normal 4 4" xfId="313"/>
    <cellStyle name="Normal 4 4 2" xfId="409"/>
    <cellStyle name="Normal 4 4 2 2" xfId="410"/>
    <cellStyle name="Normal 4 4 2 2 2" xfId="1491"/>
    <cellStyle name="Normal 4 4 2 3" xfId="1831"/>
    <cellStyle name="Normal 4 4 3" xfId="1573"/>
    <cellStyle name="Normal 4 4 4" xfId="2094"/>
    <cellStyle name="Normal 4 4 5" xfId="408"/>
    <cellStyle name="Normal 4 5" xfId="323"/>
    <cellStyle name="Normal 4 5 2" xfId="1551"/>
    <cellStyle name="Normal 4 5 3" xfId="411"/>
    <cellStyle name="Normal 4 6" xfId="833"/>
    <cellStyle name="Normal 4 6 2" xfId="1614"/>
    <cellStyle name="Normal 4 7" xfId="1097"/>
    <cellStyle name="Normal 4 8" xfId="1183"/>
    <cellStyle name="Normal 4 9" xfId="1178"/>
    <cellStyle name="Normal 40" xfId="1596"/>
    <cellStyle name="Normal 41" xfId="1652"/>
    <cellStyle name="Normal 42" xfId="1723"/>
    <cellStyle name="Normal 43" xfId="1751"/>
    <cellStyle name="Normal 44" xfId="1692"/>
    <cellStyle name="Normal 45" xfId="1666"/>
    <cellStyle name="Normal 46" xfId="1734"/>
    <cellStyle name="Normal 47" xfId="1608"/>
    <cellStyle name="Normal 48" xfId="1541"/>
    <cellStyle name="Normal 49" xfId="1711"/>
    <cellStyle name="Normal 5" xfId="157"/>
    <cellStyle name="Normal 5 10" xfId="745"/>
    <cellStyle name="Normal 5 11" xfId="1337"/>
    <cellStyle name="Normal 5 12" xfId="1593"/>
    <cellStyle name="Normal 5 13" xfId="412"/>
    <cellStyle name="Normal 5 14" xfId="267"/>
    <cellStyle name="Normal 5 2" xfId="301"/>
    <cellStyle name="Normal 5 2 10" xfId="5062"/>
    <cellStyle name="Normal 5 2 10 2" xfId="11305"/>
    <cellStyle name="Normal 5 2 10 3" xfId="17460"/>
    <cellStyle name="Normal 5 2 10 4" xfId="23587"/>
    <cellStyle name="Normal 5 2 11" xfId="8220"/>
    <cellStyle name="Normal 5 2 12" xfId="14884"/>
    <cellStyle name="Normal 5 2 13" xfId="20408"/>
    <cellStyle name="Normal 5 2 2" xfId="860"/>
    <cellStyle name="Normal 5 2 2 2" xfId="4358"/>
    <cellStyle name="Normal 5 2 2 2 2" xfId="8005"/>
    <cellStyle name="Normal 5 2 2 2 3" xfId="8006"/>
    <cellStyle name="Normal 5 2 2 2 3 2" xfId="11069"/>
    <cellStyle name="Normal 5 2 2 2 3 3" xfId="17224"/>
    <cellStyle name="Normal 5 2 2 2 3 4" xfId="23351"/>
    <cellStyle name="Normal 5 2 2 3" xfId="4359"/>
    <cellStyle name="Normal 5 2 2 3 2" xfId="7439"/>
    <cellStyle name="Normal 5 2 2 3 2 2" xfId="13681"/>
    <cellStyle name="Normal 5 2 2 3 2 3" xfId="19836"/>
    <cellStyle name="Normal 5 2 2 3 2 4" xfId="25963"/>
    <cellStyle name="Normal 5 2 2 3 3" xfId="10594"/>
    <cellStyle name="Normal 5 2 2 3 4" xfId="16753"/>
    <cellStyle name="Normal 5 2 2 3 5" xfId="22881"/>
    <cellStyle name="Normal 5 2 3" xfId="752"/>
    <cellStyle name="Normal 5 2 3 2" xfId="8007"/>
    <cellStyle name="Normal 5 2 3 2 2" xfId="11083"/>
    <cellStyle name="Normal 5 2 3 2 3" xfId="17238"/>
    <cellStyle name="Normal 5 2 3 2 4" xfId="23365"/>
    <cellStyle name="Normal 5 2 4" xfId="1339"/>
    <cellStyle name="Normal 5 2 5" xfId="1413"/>
    <cellStyle name="Normal 5 2 6" xfId="413"/>
    <cellStyle name="Normal 5 2 7" xfId="4360"/>
    <cellStyle name="Normal 5 2 7 2" xfId="7440"/>
    <cellStyle name="Normal 5 2 7 2 2" xfId="13682"/>
    <cellStyle name="Normal 5 2 7 2 3" xfId="19837"/>
    <cellStyle name="Normal 5 2 7 2 4" xfId="25964"/>
    <cellStyle name="Normal 5 2 7 3" xfId="10595"/>
    <cellStyle name="Normal 5 2 7 4" xfId="16754"/>
    <cellStyle name="Normal 5 2 7 5" xfId="22882"/>
    <cellStyle name="Normal 5 2 8" xfId="4361"/>
    <cellStyle name="Normal 5 2 8 2" xfId="7441"/>
    <cellStyle name="Normal 5 2 8 2 2" xfId="13683"/>
    <cellStyle name="Normal 5 2 8 2 3" xfId="19838"/>
    <cellStyle name="Normal 5 2 8 2 4" xfId="25965"/>
    <cellStyle name="Normal 5 2 8 3" xfId="10596"/>
    <cellStyle name="Normal 5 2 8 4" xfId="16755"/>
    <cellStyle name="Normal 5 2 8 5" xfId="22883"/>
    <cellStyle name="Normal 5 2 9" xfId="4357"/>
    <cellStyle name="Normal 5 2 9 2" xfId="7438"/>
    <cellStyle name="Normal 5 2 9 2 2" xfId="13680"/>
    <cellStyle name="Normal 5 2 9 2 3" xfId="19835"/>
    <cellStyle name="Normal 5 2 9 2 4" xfId="25962"/>
    <cellStyle name="Normal 5 2 9 3" xfId="10593"/>
    <cellStyle name="Normal 5 2 9 4" xfId="16752"/>
    <cellStyle name="Normal 5 2 9 5" xfId="22880"/>
    <cellStyle name="Normal 5 3" xfId="324"/>
    <cellStyle name="Normal 5 3 2" xfId="1766"/>
    <cellStyle name="Normal 5 3 2 2" xfId="2544"/>
    <cellStyle name="Normal 5 3 3" xfId="414"/>
    <cellStyle name="Normal 5 4" xfId="839"/>
    <cellStyle name="Normal 5 4 2" xfId="1359"/>
    <cellStyle name="Normal 5 4 3" xfId="1791"/>
    <cellStyle name="Normal 5 5" xfId="1098"/>
    <cellStyle name="Normal 5 5 2" xfId="2543"/>
    <cellStyle name="Normal 5 6" xfId="1174"/>
    <cellStyle name="Normal 5 6 2" xfId="4363"/>
    <cellStyle name="Normal 5 6 2 2" xfId="7443"/>
    <cellStyle name="Normal 5 6 2 2 2" xfId="13685"/>
    <cellStyle name="Normal 5 6 2 2 3" xfId="19840"/>
    <cellStyle name="Normal 5 6 2 2 4" xfId="25967"/>
    <cellStyle name="Normal 5 6 2 3" xfId="10598"/>
    <cellStyle name="Normal 5 6 2 4" xfId="16757"/>
    <cellStyle name="Normal 5 6 2 5" xfId="22885"/>
    <cellStyle name="Normal 5 6 3" xfId="4362"/>
    <cellStyle name="Normal 5 6 3 2" xfId="7442"/>
    <cellStyle name="Normal 5 6 3 2 2" xfId="13684"/>
    <cellStyle name="Normal 5 6 3 2 3" xfId="19839"/>
    <cellStyle name="Normal 5 6 3 2 4" xfId="25966"/>
    <cellStyle name="Normal 5 6 3 3" xfId="10597"/>
    <cellStyle name="Normal 5 6 3 4" xfId="16756"/>
    <cellStyle name="Normal 5 6 3 5" xfId="22884"/>
    <cellStyle name="Normal 5 6 4" xfId="5187"/>
    <cellStyle name="Normal 5 6 4 2" xfId="11430"/>
    <cellStyle name="Normal 5 6 4 3" xfId="17585"/>
    <cellStyle name="Normal 5 6 4 4" xfId="23712"/>
    <cellStyle name="Normal 5 6 5" xfId="8345"/>
    <cellStyle name="Normal 5 6 6" xfId="14885"/>
    <cellStyle name="Normal 5 6 7" xfId="20527"/>
    <cellStyle name="Normal 5 7" xfId="1186"/>
    <cellStyle name="Normal 5 8" xfId="1179"/>
    <cellStyle name="Normal 5 9" xfId="1237"/>
    <cellStyle name="Normal 50" xfId="1542"/>
    <cellStyle name="Normal 51" xfId="1833"/>
    <cellStyle name="Normal 52" xfId="1740"/>
    <cellStyle name="Normal 53" xfId="1500"/>
    <cellStyle name="Normal 53 2" xfId="1512"/>
    <cellStyle name="Normal 53 2 2" xfId="4365"/>
    <cellStyle name="Normal 53 2 2 2" xfId="7445"/>
    <cellStyle name="Normal 53 2 2 2 2" xfId="13687"/>
    <cellStyle name="Normal 53 2 2 2 3" xfId="19842"/>
    <cellStyle name="Normal 53 2 2 2 4" xfId="25969"/>
    <cellStyle name="Normal 53 2 2 3" xfId="10600"/>
    <cellStyle name="Normal 53 2 2 4" xfId="16759"/>
    <cellStyle name="Normal 53 2 2 5" xfId="22887"/>
    <cellStyle name="Normal 53 2 3" xfId="4364"/>
    <cellStyle name="Normal 53 2 3 2" xfId="7444"/>
    <cellStyle name="Normal 53 2 3 2 2" xfId="13686"/>
    <cellStyle name="Normal 53 2 3 2 3" xfId="19841"/>
    <cellStyle name="Normal 53 2 3 2 4" xfId="25968"/>
    <cellStyle name="Normal 53 2 3 3" xfId="10599"/>
    <cellStyle name="Normal 53 2 3 4" xfId="16758"/>
    <cellStyle name="Normal 53 2 3 5" xfId="22886"/>
    <cellStyle name="Normal 53 2 4" xfId="5246"/>
    <cellStyle name="Normal 53 2 4 2" xfId="11488"/>
    <cellStyle name="Normal 53 2 4 3" xfId="17643"/>
    <cellStyle name="Normal 53 2 4 4" xfId="23770"/>
    <cellStyle name="Normal 53 2 5" xfId="8402"/>
    <cellStyle name="Normal 53 2 6" xfId="14886"/>
    <cellStyle name="Normal 53 2 7" xfId="20584"/>
    <cellStyle name="Normal 54" xfId="1763"/>
    <cellStyle name="Normal 55" xfId="1487"/>
    <cellStyle name="Normal 55 2" xfId="4367"/>
    <cellStyle name="Normal 55 2 2" xfId="7447"/>
    <cellStyle name="Normal 55 2 2 2" xfId="13689"/>
    <cellStyle name="Normal 55 2 2 3" xfId="19844"/>
    <cellStyle name="Normal 55 2 2 4" xfId="25971"/>
    <cellStyle name="Normal 55 2 3" xfId="10602"/>
    <cellStyle name="Normal 55 2 4" xfId="16761"/>
    <cellStyle name="Normal 55 2 5" xfId="22889"/>
    <cellStyle name="Normal 55 3" xfId="4366"/>
    <cellStyle name="Normal 55 3 2" xfId="7446"/>
    <cellStyle name="Normal 55 3 2 2" xfId="13688"/>
    <cellStyle name="Normal 55 3 2 3" xfId="19843"/>
    <cellStyle name="Normal 55 3 2 4" xfId="25970"/>
    <cellStyle name="Normal 55 3 3" xfId="10601"/>
    <cellStyle name="Normal 55 3 4" xfId="16760"/>
    <cellStyle name="Normal 55 3 5" xfId="22888"/>
    <cellStyle name="Normal 55 4" xfId="5244"/>
    <cellStyle name="Normal 55 4 2" xfId="11486"/>
    <cellStyle name="Normal 55 4 3" xfId="17641"/>
    <cellStyle name="Normal 55 4 4" xfId="23768"/>
    <cellStyle name="Normal 55 5" xfId="8400"/>
    <cellStyle name="Normal 55 6" xfId="14887"/>
    <cellStyle name="Normal 55 7" xfId="20582"/>
    <cellStyle name="Normal 56" xfId="1673"/>
    <cellStyle name="Normal 56 2" xfId="4369"/>
    <cellStyle name="Normal 56 2 2" xfId="7449"/>
    <cellStyle name="Normal 56 2 2 2" xfId="13691"/>
    <cellStyle name="Normal 56 2 2 3" xfId="19846"/>
    <cellStyle name="Normal 56 2 2 4" xfId="25973"/>
    <cellStyle name="Normal 56 2 3" xfId="10604"/>
    <cellStyle name="Normal 56 2 4" xfId="16763"/>
    <cellStyle name="Normal 56 2 5" xfId="22891"/>
    <cellStyle name="Normal 56 3" xfId="4368"/>
    <cellStyle name="Normal 56 3 2" xfId="7448"/>
    <cellStyle name="Normal 56 3 2 2" xfId="13690"/>
    <cellStyle name="Normal 56 3 2 3" xfId="19845"/>
    <cellStyle name="Normal 56 3 2 4" xfId="25972"/>
    <cellStyle name="Normal 56 3 3" xfId="10603"/>
    <cellStyle name="Normal 56 3 4" xfId="16762"/>
    <cellStyle name="Normal 56 3 5" xfId="22890"/>
    <cellStyle name="Normal 56 4" xfId="5268"/>
    <cellStyle name="Normal 56 4 2" xfId="11510"/>
    <cellStyle name="Normal 56 4 3" xfId="17665"/>
    <cellStyle name="Normal 56 4 4" xfId="23792"/>
    <cellStyle name="Normal 56 5" xfId="8424"/>
    <cellStyle name="Normal 56 6" xfId="14888"/>
    <cellStyle name="Normal 56 7" xfId="20605"/>
    <cellStyle name="Normal 57" xfId="1710"/>
    <cellStyle name="Normal 57 2" xfId="4371"/>
    <cellStyle name="Normal 57 2 2" xfId="7451"/>
    <cellStyle name="Normal 57 2 2 2" xfId="13693"/>
    <cellStyle name="Normal 57 2 2 3" xfId="19848"/>
    <cellStyle name="Normal 57 2 2 4" xfId="25975"/>
    <cellStyle name="Normal 57 2 3" xfId="10606"/>
    <cellStyle name="Normal 57 2 4" xfId="16765"/>
    <cellStyle name="Normal 57 2 5" xfId="22893"/>
    <cellStyle name="Normal 57 3" xfId="4370"/>
    <cellStyle name="Normal 57 3 2" xfId="7450"/>
    <cellStyle name="Normal 57 3 2 2" xfId="13692"/>
    <cellStyle name="Normal 57 3 2 3" xfId="19847"/>
    <cellStyle name="Normal 57 3 2 4" xfId="25974"/>
    <cellStyle name="Normal 57 3 3" xfId="10605"/>
    <cellStyle name="Normal 57 3 4" xfId="16764"/>
    <cellStyle name="Normal 57 3 5" xfId="22892"/>
    <cellStyle name="Normal 57 4" xfId="5276"/>
    <cellStyle name="Normal 57 4 2" xfId="11518"/>
    <cellStyle name="Normal 57 4 3" xfId="17673"/>
    <cellStyle name="Normal 57 4 4" xfId="23800"/>
    <cellStyle name="Normal 57 5" xfId="8432"/>
    <cellStyle name="Normal 57 6" xfId="14889"/>
    <cellStyle name="Normal 57 7" xfId="20613"/>
    <cellStyle name="Normal 58" xfId="1603"/>
    <cellStyle name="Normal 58 2" xfId="4373"/>
    <cellStyle name="Normal 58 2 2" xfId="7453"/>
    <cellStyle name="Normal 58 2 2 2" xfId="13695"/>
    <cellStyle name="Normal 58 2 2 3" xfId="19850"/>
    <cellStyle name="Normal 58 2 2 4" xfId="25977"/>
    <cellStyle name="Normal 58 2 3" xfId="10608"/>
    <cellStyle name="Normal 58 2 4" xfId="16767"/>
    <cellStyle name="Normal 58 2 5" xfId="22895"/>
    <cellStyle name="Normal 58 3" xfId="4372"/>
    <cellStyle name="Normal 58 3 2" xfId="7452"/>
    <cellStyle name="Normal 58 3 2 2" xfId="13694"/>
    <cellStyle name="Normal 58 3 2 3" xfId="19849"/>
    <cellStyle name="Normal 58 3 2 4" xfId="25976"/>
    <cellStyle name="Normal 58 3 3" xfId="10607"/>
    <cellStyle name="Normal 58 3 4" xfId="16766"/>
    <cellStyle name="Normal 58 3 5" xfId="22894"/>
    <cellStyle name="Normal 58 4" xfId="5259"/>
    <cellStyle name="Normal 58 4 2" xfId="11501"/>
    <cellStyle name="Normal 58 4 3" xfId="17656"/>
    <cellStyle name="Normal 58 4 4" xfId="23783"/>
    <cellStyle name="Normal 58 5" xfId="8416"/>
    <cellStyle name="Normal 58 6" xfId="14890"/>
    <cellStyle name="Normal 58 7" xfId="20597"/>
    <cellStyle name="Normal 59" xfId="1454"/>
    <cellStyle name="Normal 59 2" xfId="4375"/>
    <cellStyle name="Normal 59 2 2" xfId="7455"/>
    <cellStyle name="Normal 59 2 2 2" xfId="13697"/>
    <cellStyle name="Normal 59 2 2 3" xfId="19852"/>
    <cellStyle name="Normal 59 2 2 4" xfId="25979"/>
    <cellStyle name="Normal 59 2 3" xfId="10610"/>
    <cellStyle name="Normal 59 2 4" xfId="16769"/>
    <cellStyle name="Normal 59 2 5" xfId="22897"/>
    <cellStyle name="Normal 59 3" xfId="4374"/>
    <cellStyle name="Normal 59 3 2" xfId="7454"/>
    <cellStyle name="Normal 59 3 2 2" xfId="13696"/>
    <cellStyle name="Normal 59 3 2 3" xfId="19851"/>
    <cellStyle name="Normal 59 3 2 4" xfId="25978"/>
    <cellStyle name="Normal 59 3 3" xfId="10609"/>
    <cellStyle name="Normal 59 3 4" xfId="16768"/>
    <cellStyle name="Normal 59 3 5" xfId="22896"/>
    <cellStyle name="Normal 59 4" xfId="5238"/>
    <cellStyle name="Normal 59 4 2" xfId="11480"/>
    <cellStyle name="Normal 59 4 3" xfId="17635"/>
    <cellStyle name="Normal 59 4 4" xfId="23762"/>
    <cellStyle name="Normal 59 5" xfId="8394"/>
    <cellStyle name="Normal 59 6" xfId="14891"/>
    <cellStyle name="Normal 59 7" xfId="20576"/>
    <cellStyle name="Normal 6" xfId="170"/>
    <cellStyle name="Normal 6 10" xfId="1293"/>
    <cellStyle name="Normal 6 10 2" xfId="4377"/>
    <cellStyle name="Normal 6 10 2 2" xfId="7457"/>
    <cellStyle name="Normal 6 10 2 2 2" xfId="13699"/>
    <cellStyle name="Normal 6 10 2 2 3" xfId="19854"/>
    <cellStyle name="Normal 6 10 2 2 4" xfId="25981"/>
    <cellStyle name="Normal 6 10 2 3" xfId="10612"/>
    <cellStyle name="Normal 6 10 2 4" xfId="16771"/>
    <cellStyle name="Normal 6 10 2 5" xfId="22899"/>
    <cellStyle name="Normal 6 10 3" xfId="4376"/>
    <cellStyle name="Normal 6 10 3 2" xfId="7456"/>
    <cellStyle name="Normal 6 10 3 2 2" xfId="13698"/>
    <cellStyle name="Normal 6 10 3 2 3" xfId="19853"/>
    <cellStyle name="Normal 6 10 3 2 4" xfId="25980"/>
    <cellStyle name="Normal 6 10 3 3" xfId="10611"/>
    <cellStyle name="Normal 6 10 3 4" xfId="16770"/>
    <cellStyle name="Normal 6 10 3 5" xfId="22898"/>
    <cellStyle name="Normal 6 10 4" xfId="5220"/>
    <cellStyle name="Normal 6 10 4 2" xfId="11462"/>
    <cellStyle name="Normal 6 10 4 3" xfId="17617"/>
    <cellStyle name="Normal 6 10 4 4" xfId="23744"/>
    <cellStyle name="Normal 6 10 5" xfId="8376"/>
    <cellStyle name="Normal 6 10 6" xfId="14892"/>
    <cellStyle name="Normal 6 10 7" xfId="20558"/>
    <cellStyle name="Normal 6 11" xfId="1343"/>
    <cellStyle name="Normal 6 12" xfId="1709"/>
    <cellStyle name="Normal 6 13" xfId="415"/>
    <cellStyle name="Normal 6 14" xfId="8008"/>
    <cellStyle name="Normal 6 2" xfId="325"/>
    <cellStyle name="Normal 6 2 2" xfId="1670"/>
    <cellStyle name="Normal 6 2 2 2" xfId="2366"/>
    <cellStyle name="Normal 6 2 2 2 2" xfId="4379"/>
    <cellStyle name="Normal 6 2 2 2 2 2" xfId="7459"/>
    <cellStyle name="Normal 6 2 2 2 2 2 2" xfId="13701"/>
    <cellStyle name="Normal 6 2 2 2 2 2 3" xfId="19856"/>
    <cellStyle name="Normal 6 2 2 2 2 2 4" xfId="25983"/>
    <cellStyle name="Normal 6 2 2 2 2 3" xfId="10614"/>
    <cellStyle name="Normal 6 2 2 2 2 4" xfId="16773"/>
    <cellStyle name="Normal 6 2 2 2 2 5" xfId="22901"/>
    <cellStyle name="Normal 6 2 2 2 3" xfId="4378"/>
    <cellStyle name="Normal 6 2 2 2 3 2" xfId="7458"/>
    <cellStyle name="Normal 6 2 2 2 3 2 2" xfId="13700"/>
    <cellStyle name="Normal 6 2 2 2 3 2 3" xfId="19855"/>
    <cellStyle name="Normal 6 2 2 2 3 2 4" xfId="25982"/>
    <cellStyle name="Normal 6 2 2 2 3 3" xfId="10613"/>
    <cellStyle name="Normal 6 2 2 2 3 4" xfId="16772"/>
    <cellStyle name="Normal 6 2 2 2 3 5" xfId="22900"/>
    <cellStyle name="Normal 6 2 2 2 4" xfId="5679"/>
    <cellStyle name="Normal 6 2 2 2 4 2" xfId="11921"/>
    <cellStyle name="Normal 6 2 2 2 4 3" xfId="18076"/>
    <cellStyle name="Normal 6 2 2 2 4 4" xfId="24203"/>
    <cellStyle name="Normal 6 2 2 2 5" xfId="8833"/>
    <cellStyle name="Normal 6 2 2 2 6" xfId="14893"/>
    <cellStyle name="Normal 6 2 2 2 7" xfId="21013"/>
    <cellStyle name="Normal 6 2 3" xfId="2191"/>
    <cellStyle name="Normal 6 2 3 2" xfId="4381"/>
    <cellStyle name="Normal 6 2 3 2 2" xfId="7461"/>
    <cellStyle name="Normal 6 2 3 2 2 2" xfId="13703"/>
    <cellStyle name="Normal 6 2 3 2 2 3" xfId="19858"/>
    <cellStyle name="Normal 6 2 3 2 2 4" xfId="25985"/>
    <cellStyle name="Normal 6 2 3 2 3" xfId="10616"/>
    <cellStyle name="Normal 6 2 3 2 4" xfId="16775"/>
    <cellStyle name="Normal 6 2 3 2 5" xfId="22903"/>
    <cellStyle name="Normal 6 2 3 3" xfId="4380"/>
    <cellStyle name="Normal 6 2 3 3 2" xfId="7460"/>
    <cellStyle name="Normal 6 2 3 3 2 2" xfId="13702"/>
    <cellStyle name="Normal 6 2 3 3 2 3" xfId="19857"/>
    <cellStyle name="Normal 6 2 3 3 2 4" xfId="25984"/>
    <cellStyle name="Normal 6 2 3 3 3" xfId="10615"/>
    <cellStyle name="Normal 6 2 3 3 4" xfId="16774"/>
    <cellStyle name="Normal 6 2 3 3 5" xfId="22902"/>
    <cellStyle name="Normal 6 2 3 4" xfId="5504"/>
    <cellStyle name="Normal 6 2 3 4 2" xfId="11746"/>
    <cellStyle name="Normal 6 2 3 4 3" xfId="17901"/>
    <cellStyle name="Normal 6 2 3 4 4" xfId="24028"/>
    <cellStyle name="Normal 6 2 3 5" xfId="8658"/>
    <cellStyle name="Normal 6 2 3 6" xfId="14894"/>
    <cellStyle name="Normal 6 2 3 7" xfId="20838"/>
    <cellStyle name="Normal 6 2 4" xfId="1976"/>
    <cellStyle name="Normal 6 2 4 2" xfId="4383"/>
    <cellStyle name="Normal 6 2 4 2 2" xfId="7463"/>
    <cellStyle name="Normal 6 2 4 2 2 2" xfId="13705"/>
    <cellStyle name="Normal 6 2 4 2 2 3" xfId="19860"/>
    <cellStyle name="Normal 6 2 4 2 2 4" xfId="25987"/>
    <cellStyle name="Normal 6 2 4 2 3" xfId="10618"/>
    <cellStyle name="Normal 6 2 4 2 4" xfId="16777"/>
    <cellStyle name="Normal 6 2 4 2 5" xfId="22905"/>
    <cellStyle name="Normal 6 2 4 3" xfId="4382"/>
    <cellStyle name="Normal 6 2 4 3 2" xfId="7462"/>
    <cellStyle name="Normal 6 2 4 3 2 2" xfId="13704"/>
    <cellStyle name="Normal 6 2 4 3 2 3" xfId="19859"/>
    <cellStyle name="Normal 6 2 4 3 2 4" xfId="25986"/>
    <cellStyle name="Normal 6 2 4 3 3" xfId="10617"/>
    <cellStyle name="Normal 6 2 4 3 4" xfId="16776"/>
    <cellStyle name="Normal 6 2 4 3 5" xfId="22904"/>
    <cellStyle name="Normal 6 2 4 4" xfId="5322"/>
    <cellStyle name="Normal 6 2 4 4 2" xfId="11564"/>
    <cellStyle name="Normal 6 2 4 4 3" xfId="17719"/>
    <cellStyle name="Normal 6 2 4 4 4" xfId="23846"/>
    <cellStyle name="Normal 6 2 4 5" xfId="8477"/>
    <cellStyle name="Normal 6 2 4 6" xfId="14895"/>
    <cellStyle name="Normal 6 2 4 7" xfId="20657"/>
    <cellStyle name="Normal 6 2 5" xfId="2545"/>
    <cellStyle name="Normal 6 3" xfId="1099"/>
    <cellStyle name="Normal 6 3 2" xfId="2442"/>
    <cellStyle name="Normal 6 3 2 2" xfId="4385"/>
    <cellStyle name="Normal 6 3 2 2 2" xfId="7465"/>
    <cellStyle name="Normal 6 3 2 2 2 2" xfId="13707"/>
    <cellStyle name="Normal 6 3 2 2 2 3" xfId="19862"/>
    <cellStyle name="Normal 6 3 2 2 2 4" xfId="25989"/>
    <cellStyle name="Normal 6 3 2 2 3" xfId="10620"/>
    <cellStyle name="Normal 6 3 2 2 4" xfId="16779"/>
    <cellStyle name="Normal 6 3 2 2 5" xfId="22907"/>
    <cellStyle name="Normal 6 3 2 3" xfId="4384"/>
    <cellStyle name="Normal 6 3 2 3 2" xfId="7464"/>
    <cellStyle name="Normal 6 3 2 3 2 2" xfId="13706"/>
    <cellStyle name="Normal 6 3 2 3 2 3" xfId="19861"/>
    <cellStyle name="Normal 6 3 2 3 2 4" xfId="25988"/>
    <cellStyle name="Normal 6 3 2 3 3" xfId="10619"/>
    <cellStyle name="Normal 6 3 2 3 4" xfId="16778"/>
    <cellStyle name="Normal 6 3 2 3 5" xfId="22906"/>
    <cellStyle name="Normal 6 3 2 4" xfId="5755"/>
    <cellStyle name="Normal 6 3 2 4 2" xfId="11997"/>
    <cellStyle name="Normal 6 3 2 4 3" xfId="18152"/>
    <cellStyle name="Normal 6 3 2 4 4" xfId="24279"/>
    <cellStyle name="Normal 6 3 2 5" xfId="8909"/>
    <cellStyle name="Normal 6 3 2 6" xfId="14896"/>
    <cellStyle name="Normal 6 3 2 7" xfId="21089"/>
    <cellStyle name="Normal 6 3 3" xfId="2270"/>
    <cellStyle name="Normal 6 3 3 2" xfId="4387"/>
    <cellStyle name="Normal 6 3 3 2 2" xfId="7467"/>
    <cellStyle name="Normal 6 3 3 2 2 2" xfId="13709"/>
    <cellStyle name="Normal 6 3 3 2 2 3" xfId="19864"/>
    <cellStyle name="Normal 6 3 3 2 2 4" xfId="25991"/>
    <cellStyle name="Normal 6 3 3 2 3" xfId="10622"/>
    <cellStyle name="Normal 6 3 3 2 4" xfId="16781"/>
    <cellStyle name="Normal 6 3 3 2 5" xfId="22909"/>
    <cellStyle name="Normal 6 3 3 3" xfId="4386"/>
    <cellStyle name="Normal 6 3 3 3 2" xfId="7466"/>
    <cellStyle name="Normal 6 3 3 3 2 2" xfId="13708"/>
    <cellStyle name="Normal 6 3 3 3 2 3" xfId="19863"/>
    <cellStyle name="Normal 6 3 3 3 2 4" xfId="25990"/>
    <cellStyle name="Normal 6 3 3 3 3" xfId="10621"/>
    <cellStyle name="Normal 6 3 3 3 4" xfId="16780"/>
    <cellStyle name="Normal 6 3 3 3 5" xfId="22908"/>
    <cellStyle name="Normal 6 3 3 4" xfId="5583"/>
    <cellStyle name="Normal 6 3 3 4 2" xfId="11825"/>
    <cellStyle name="Normal 6 3 3 4 3" xfId="17980"/>
    <cellStyle name="Normal 6 3 3 4 4" xfId="24107"/>
    <cellStyle name="Normal 6 3 3 5" xfId="8737"/>
    <cellStyle name="Normal 6 3 3 6" xfId="14897"/>
    <cellStyle name="Normal 6 3 3 7" xfId="20917"/>
    <cellStyle name="Normal 6 3 4" xfId="2057"/>
    <cellStyle name="Normal 6 3 4 2" xfId="4389"/>
    <cellStyle name="Normal 6 3 4 2 2" xfId="7469"/>
    <cellStyle name="Normal 6 3 4 2 2 2" xfId="13711"/>
    <cellStyle name="Normal 6 3 4 2 2 3" xfId="19866"/>
    <cellStyle name="Normal 6 3 4 2 2 4" xfId="25993"/>
    <cellStyle name="Normal 6 3 4 2 3" xfId="10624"/>
    <cellStyle name="Normal 6 3 4 2 4" xfId="16783"/>
    <cellStyle name="Normal 6 3 4 2 5" xfId="22911"/>
    <cellStyle name="Normal 6 3 4 3" xfId="4388"/>
    <cellStyle name="Normal 6 3 4 3 2" xfId="7468"/>
    <cellStyle name="Normal 6 3 4 3 2 2" xfId="13710"/>
    <cellStyle name="Normal 6 3 4 3 2 3" xfId="19865"/>
    <cellStyle name="Normal 6 3 4 3 2 4" xfId="25992"/>
    <cellStyle name="Normal 6 3 4 3 3" xfId="10623"/>
    <cellStyle name="Normal 6 3 4 3 4" xfId="16782"/>
    <cellStyle name="Normal 6 3 4 3 5" xfId="22910"/>
    <cellStyle name="Normal 6 3 4 4" xfId="5395"/>
    <cellStyle name="Normal 6 3 4 4 2" xfId="11637"/>
    <cellStyle name="Normal 6 3 4 4 3" xfId="17792"/>
    <cellStyle name="Normal 6 3 4 4 4" xfId="23919"/>
    <cellStyle name="Normal 6 3 4 5" xfId="8550"/>
    <cellStyle name="Normal 6 3 4 6" xfId="14898"/>
    <cellStyle name="Normal 6 3 4 7" xfId="20730"/>
    <cellStyle name="Normal 6 4" xfId="1189"/>
    <cellStyle name="Normal 6 4 2" xfId="2452"/>
    <cellStyle name="Normal 6 4 2 2" xfId="4391"/>
    <cellStyle name="Normal 6 4 2 2 2" xfId="7471"/>
    <cellStyle name="Normal 6 4 2 2 2 2" xfId="13713"/>
    <cellStyle name="Normal 6 4 2 2 2 3" xfId="19868"/>
    <cellStyle name="Normal 6 4 2 2 2 4" xfId="25995"/>
    <cellStyle name="Normal 6 4 2 2 3" xfId="10626"/>
    <cellStyle name="Normal 6 4 2 2 4" xfId="16785"/>
    <cellStyle name="Normal 6 4 2 2 5" xfId="22913"/>
    <cellStyle name="Normal 6 4 2 3" xfId="4390"/>
    <cellStyle name="Normal 6 4 2 3 2" xfId="7470"/>
    <cellStyle name="Normal 6 4 2 3 2 2" xfId="13712"/>
    <cellStyle name="Normal 6 4 2 3 2 3" xfId="19867"/>
    <cellStyle name="Normal 6 4 2 3 2 4" xfId="25994"/>
    <cellStyle name="Normal 6 4 2 3 3" xfId="10625"/>
    <cellStyle name="Normal 6 4 2 3 4" xfId="16784"/>
    <cellStyle name="Normal 6 4 2 3 5" xfId="22912"/>
    <cellStyle name="Normal 6 4 2 4" xfId="5765"/>
    <cellStyle name="Normal 6 4 2 4 2" xfId="12007"/>
    <cellStyle name="Normal 6 4 2 4 3" xfId="18162"/>
    <cellStyle name="Normal 6 4 2 4 4" xfId="24289"/>
    <cellStyle name="Normal 6 4 2 5" xfId="8919"/>
    <cellStyle name="Normal 6 4 2 6" xfId="14899"/>
    <cellStyle name="Normal 6 4 2 7" xfId="21099"/>
    <cellStyle name="Normal 6 4 3" xfId="2280"/>
    <cellStyle name="Normal 6 4 3 2" xfId="4393"/>
    <cellStyle name="Normal 6 4 3 2 2" xfId="7473"/>
    <cellStyle name="Normal 6 4 3 2 2 2" xfId="13715"/>
    <cellStyle name="Normal 6 4 3 2 2 3" xfId="19870"/>
    <cellStyle name="Normal 6 4 3 2 2 4" xfId="25997"/>
    <cellStyle name="Normal 6 4 3 2 3" xfId="10628"/>
    <cellStyle name="Normal 6 4 3 2 4" xfId="16787"/>
    <cellStyle name="Normal 6 4 3 2 5" xfId="22915"/>
    <cellStyle name="Normal 6 4 3 3" xfId="4392"/>
    <cellStyle name="Normal 6 4 3 3 2" xfId="7472"/>
    <cellStyle name="Normal 6 4 3 3 2 2" xfId="13714"/>
    <cellStyle name="Normal 6 4 3 3 2 3" xfId="19869"/>
    <cellStyle name="Normal 6 4 3 3 2 4" xfId="25996"/>
    <cellStyle name="Normal 6 4 3 3 3" xfId="10627"/>
    <cellStyle name="Normal 6 4 3 3 4" xfId="16786"/>
    <cellStyle name="Normal 6 4 3 3 5" xfId="22914"/>
    <cellStyle name="Normal 6 4 3 4" xfId="5593"/>
    <cellStyle name="Normal 6 4 3 4 2" xfId="11835"/>
    <cellStyle name="Normal 6 4 3 4 3" xfId="17990"/>
    <cellStyle name="Normal 6 4 3 4 4" xfId="24117"/>
    <cellStyle name="Normal 6 4 3 5" xfId="8747"/>
    <cellStyle name="Normal 6 4 3 6" xfId="14900"/>
    <cellStyle name="Normal 6 4 3 7" xfId="20927"/>
    <cellStyle name="Normal 6 4 4" xfId="2067"/>
    <cellStyle name="Normal 6 4 4 2" xfId="4395"/>
    <cellStyle name="Normal 6 4 4 2 2" xfId="7475"/>
    <cellStyle name="Normal 6 4 4 2 2 2" xfId="13717"/>
    <cellStyle name="Normal 6 4 4 2 2 3" xfId="19872"/>
    <cellStyle name="Normal 6 4 4 2 2 4" xfId="25999"/>
    <cellStyle name="Normal 6 4 4 2 3" xfId="10630"/>
    <cellStyle name="Normal 6 4 4 2 4" xfId="16789"/>
    <cellStyle name="Normal 6 4 4 2 5" xfId="22917"/>
    <cellStyle name="Normal 6 4 4 3" xfId="4394"/>
    <cellStyle name="Normal 6 4 4 3 2" xfId="7474"/>
    <cellStyle name="Normal 6 4 4 3 2 2" xfId="13716"/>
    <cellStyle name="Normal 6 4 4 3 2 3" xfId="19871"/>
    <cellStyle name="Normal 6 4 4 3 2 4" xfId="25998"/>
    <cellStyle name="Normal 6 4 4 3 3" xfId="10629"/>
    <cellStyle name="Normal 6 4 4 3 4" xfId="16788"/>
    <cellStyle name="Normal 6 4 4 3 5" xfId="22916"/>
    <cellStyle name="Normal 6 4 4 4" xfId="5405"/>
    <cellStyle name="Normal 6 4 4 4 2" xfId="11647"/>
    <cellStyle name="Normal 6 4 4 4 3" xfId="17802"/>
    <cellStyle name="Normal 6 4 4 4 4" xfId="23929"/>
    <cellStyle name="Normal 6 4 4 5" xfId="8560"/>
    <cellStyle name="Normal 6 4 4 6" xfId="14901"/>
    <cellStyle name="Normal 6 4 4 7" xfId="20740"/>
    <cellStyle name="Normal 6 5" xfId="1180"/>
    <cellStyle name="Normal 6 5 2" xfId="2079"/>
    <cellStyle name="Normal 6 6" xfId="1239"/>
    <cellStyle name="Normal 6 6 2" xfId="2348"/>
    <cellStyle name="Normal 6 6 2 2" xfId="4397"/>
    <cellStyle name="Normal 6 6 2 2 2" xfId="7477"/>
    <cellStyle name="Normal 6 6 2 2 2 2" xfId="13719"/>
    <cellStyle name="Normal 6 6 2 2 2 3" xfId="19874"/>
    <cellStyle name="Normal 6 6 2 2 2 4" xfId="26001"/>
    <cellStyle name="Normal 6 6 2 2 3" xfId="10632"/>
    <cellStyle name="Normal 6 6 2 2 4" xfId="16791"/>
    <cellStyle name="Normal 6 6 2 2 5" xfId="22919"/>
    <cellStyle name="Normal 6 6 2 3" xfId="4396"/>
    <cellStyle name="Normal 6 6 2 3 2" xfId="7476"/>
    <cellStyle name="Normal 6 6 2 3 2 2" xfId="13718"/>
    <cellStyle name="Normal 6 6 2 3 2 3" xfId="19873"/>
    <cellStyle name="Normal 6 6 2 3 2 4" xfId="26000"/>
    <cellStyle name="Normal 6 6 2 3 3" xfId="10631"/>
    <cellStyle name="Normal 6 6 2 3 4" xfId="16790"/>
    <cellStyle name="Normal 6 6 2 3 5" xfId="22918"/>
    <cellStyle name="Normal 6 6 2 4" xfId="5661"/>
    <cellStyle name="Normal 6 6 2 4 2" xfId="11903"/>
    <cellStyle name="Normal 6 6 2 4 3" xfId="18058"/>
    <cellStyle name="Normal 6 6 2 4 4" xfId="24185"/>
    <cellStyle name="Normal 6 6 2 5" xfId="8815"/>
    <cellStyle name="Normal 6 6 2 6" xfId="14902"/>
    <cellStyle name="Normal 6 6 2 7" xfId="20995"/>
    <cellStyle name="Normal 6 6 3" xfId="2099"/>
    <cellStyle name="Normal 6 6 3 2" xfId="4399"/>
    <cellStyle name="Normal 6 6 3 2 2" xfId="7479"/>
    <cellStyle name="Normal 6 6 3 2 2 2" xfId="13721"/>
    <cellStyle name="Normal 6 6 3 2 2 3" xfId="19876"/>
    <cellStyle name="Normal 6 6 3 2 2 4" xfId="26003"/>
    <cellStyle name="Normal 6 6 3 2 3" xfId="10634"/>
    <cellStyle name="Normal 6 6 3 2 4" xfId="16793"/>
    <cellStyle name="Normal 6 6 3 2 5" xfId="22921"/>
    <cellStyle name="Normal 6 6 3 3" xfId="4398"/>
    <cellStyle name="Normal 6 6 3 3 2" xfId="7478"/>
    <cellStyle name="Normal 6 6 3 3 2 2" xfId="13720"/>
    <cellStyle name="Normal 6 6 3 3 2 3" xfId="19875"/>
    <cellStyle name="Normal 6 6 3 3 2 4" xfId="26002"/>
    <cellStyle name="Normal 6 6 3 3 3" xfId="10633"/>
    <cellStyle name="Normal 6 6 3 3 4" xfId="16792"/>
    <cellStyle name="Normal 6 6 3 3 5" xfId="22920"/>
    <cellStyle name="Normal 6 6 3 4" xfId="5416"/>
    <cellStyle name="Normal 6 6 3 4 2" xfId="11658"/>
    <cellStyle name="Normal 6 6 3 4 3" xfId="17813"/>
    <cellStyle name="Normal 6 6 3 4 4" xfId="23940"/>
    <cellStyle name="Normal 6 6 3 5" xfId="8570"/>
    <cellStyle name="Normal 6 6 3 6" xfId="14903"/>
    <cellStyle name="Normal 6 6 3 7" xfId="20750"/>
    <cellStyle name="Normal 6 7" xfId="1229"/>
    <cellStyle name="Normal 6 7 2" xfId="2115"/>
    <cellStyle name="Normal 6 7 2 2" xfId="4401"/>
    <cellStyle name="Normal 6 7 2 2 2" xfId="7481"/>
    <cellStyle name="Normal 6 7 2 2 2 2" xfId="13723"/>
    <cellStyle name="Normal 6 7 2 2 2 3" xfId="19878"/>
    <cellStyle name="Normal 6 7 2 2 2 4" xfId="26005"/>
    <cellStyle name="Normal 6 7 2 2 3" xfId="10636"/>
    <cellStyle name="Normal 6 7 2 2 4" xfId="16795"/>
    <cellStyle name="Normal 6 7 2 2 5" xfId="22923"/>
    <cellStyle name="Normal 6 7 2 3" xfId="4400"/>
    <cellStyle name="Normal 6 7 2 3 2" xfId="7480"/>
    <cellStyle name="Normal 6 7 2 3 2 2" xfId="13722"/>
    <cellStyle name="Normal 6 7 2 3 2 3" xfId="19877"/>
    <cellStyle name="Normal 6 7 2 3 2 4" xfId="26004"/>
    <cellStyle name="Normal 6 7 2 3 3" xfId="10635"/>
    <cellStyle name="Normal 6 7 2 3 4" xfId="16794"/>
    <cellStyle name="Normal 6 7 2 3 5" xfId="22922"/>
    <cellStyle name="Normal 6 7 2 4" xfId="5428"/>
    <cellStyle name="Normal 6 7 2 4 2" xfId="11670"/>
    <cellStyle name="Normal 6 7 2 4 3" xfId="17825"/>
    <cellStyle name="Normal 6 7 2 4 4" xfId="23952"/>
    <cellStyle name="Normal 6 7 2 5" xfId="8582"/>
    <cellStyle name="Normal 6 7 2 6" xfId="14904"/>
    <cellStyle name="Normal 6 7 2 7" xfId="20762"/>
    <cellStyle name="Normal 6 8" xfId="1218"/>
    <cellStyle name="Normal 6 8 2" xfId="4402"/>
    <cellStyle name="Normal 6 8 2 2" xfId="7482"/>
    <cellStyle name="Normal 6 8 2 2 2" xfId="13724"/>
    <cellStyle name="Normal 6 8 2 2 3" xfId="19879"/>
    <cellStyle name="Normal 6 8 2 2 4" xfId="26006"/>
    <cellStyle name="Normal 6 8 2 3" xfId="10637"/>
    <cellStyle name="Normal 6 8 2 4" xfId="16796"/>
    <cellStyle name="Normal 6 8 2 5" xfId="22924"/>
    <cellStyle name="Normal 6 9" xfId="819"/>
    <cellStyle name="Normal 6 9 2" xfId="4403"/>
    <cellStyle name="Normal 6 9 2 2" xfId="7483"/>
    <cellStyle name="Normal 6 9 2 2 2" xfId="13725"/>
    <cellStyle name="Normal 6 9 2 2 3" xfId="19880"/>
    <cellStyle name="Normal 6 9 2 2 4" xfId="26007"/>
    <cellStyle name="Normal 6 9 2 3" xfId="10638"/>
    <cellStyle name="Normal 6 9 2 4" xfId="16797"/>
    <cellStyle name="Normal 6 9 2 5" xfId="22925"/>
    <cellStyle name="Normal 60" xfId="1610"/>
    <cellStyle name="Normal 60 2" xfId="4405"/>
    <cellStyle name="Normal 60 2 2" xfId="7485"/>
    <cellStyle name="Normal 60 2 2 2" xfId="13727"/>
    <cellStyle name="Normal 60 2 2 3" xfId="19882"/>
    <cellStyle name="Normal 60 2 2 4" xfId="26009"/>
    <cellStyle name="Normal 60 2 3" xfId="10640"/>
    <cellStyle name="Normal 60 2 4" xfId="16799"/>
    <cellStyle name="Normal 60 2 5" xfId="22927"/>
    <cellStyle name="Normal 60 3" xfId="4404"/>
    <cellStyle name="Normal 60 3 2" xfId="7484"/>
    <cellStyle name="Normal 60 3 2 2" xfId="13726"/>
    <cellStyle name="Normal 60 3 2 3" xfId="19881"/>
    <cellStyle name="Normal 60 3 2 4" xfId="26008"/>
    <cellStyle name="Normal 60 3 3" xfId="10639"/>
    <cellStyle name="Normal 60 3 4" xfId="16798"/>
    <cellStyle name="Normal 60 3 5" xfId="22926"/>
    <cellStyle name="Normal 60 4" xfId="5260"/>
    <cellStyle name="Normal 60 4 2" xfId="11502"/>
    <cellStyle name="Normal 60 4 3" xfId="17657"/>
    <cellStyle name="Normal 60 4 4" xfId="23784"/>
    <cellStyle name="Normal 60 5" xfId="8417"/>
    <cellStyle name="Normal 60 6" xfId="14905"/>
    <cellStyle name="Normal 60 7" xfId="20598"/>
    <cellStyle name="Normal 61" xfId="1810"/>
    <cellStyle name="Normal 61 2" xfId="4407"/>
    <cellStyle name="Normal 61 2 2" xfId="7487"/>
    <cellStyle name="Normal 61 2 2 2" xfId="13729"/>
    <cellStyle name="Normal 61 2 2 3" xfId="19884"/>
    <cellStyle name="Normal 61 2 2 4" xfId="26011"/>
    <cellStyle name="Normal 61 2 3" xfId="10642"/>
    <cellStyle name="Normal 61 2 4" xfId="16801"/>
    <cellStyle name="Normal 61 2 5" xfId="22929"/>
    <cellStyle name="Normal 61 3" xfId="4406"/>
    <cellStyle name="Normal 61 3 2" xfId="7486"/>
    <cellStyle name="Normal 61 3 2 2" xfId="13728"/>
    <cellStyle name="Normal 61 3 2 3" xfId="19883"/>
    <cellStyle name="Normal 61 3 2 4" xfId="26010"/>
    <cellStyle name="Normal 61 3 3" xfId="10641"/>
    <cellStyle name="Normal 61 3 4" xfId="16800"/>
    <cellStyle name="Normal 61 3 5" xfId="22928"/>
    <cellStyle name="Normal 61 4" xfId="5291"/>
    <cellStyle name="Normal 61 4 2" xfId="11533"/>
    <cellStyle name="Normal 61 4 3" xfId="17688"/>
    <cellStyle name="Normal 61 4 4" xfId="23815"/>
    <cellStyle name="Normal 61 5" xfId="8447"/>
    <cellStyle name="Normal 61 6" xfId="14906"/>
    <cellStyle name="Normal 61 7" xfId="20628"/>
    <cellStyle name="Normal 62" xfId="1481"/>
    <cellStyle name="Normal 62 2" xfId="4409"/>
    <cellStyle name="Normal 62 2 2" xfId="7489"/>
    <cellStyle name="Normal 62 2 2 2" xfId="13731"/>
    <cellStyle name="Normal 62 2 2 3" xfId="19886"/>
    <cellStyle name="Normal 62 2 2 4" xfId="26013"/>
    <cellStyle name="Normal 62 2 3" xfId="10644"/>
    <cellStyle name="Normal 62 2 4" xfId="16803"/>
    <cellStyle name="Normal 62 2 5" xfId="22931"/>
    <cellStyle name="Normal 62 3" xfId="4408"/>
    <cellStyle name="Normal 62 3 2" xfId="7488"/>
    <cellStyle name="Normal 62 3 2 2" xfId="13730"/>
    <cellStyle name="Normal 62 3 2 3" xfId="19885"/>
    <cellStyle name="Normal 62 3 2 4" xfId="26012"/>
    <cellStyle name="Normal 62 3 3" xfId="10643"/>
    <cellStyle name="Normal 62 3 4" xfId="16802"/>
    <cellStyle name="Normal 62 3 5" xfId="22930"/>
    <cellStyle name="Normal 62 4" xfId="5242"/>
    <cellStyle name="Normal 62 4 2" xfId="11484"/>
    <cellStyle name="Normal 62 4 3" xfId="17639"/>
    <cellStyle name="Normal 62 4 4" xfId="23766"/>
    <cellStyle name="Normal 62 5" xfId="8398"/>
    <cellStyle name="Normal 62 6" xfId="14907"/>
    <cellStyle name="Normal 62 7" xfId="20580"/>
    <cellStyle name="Normal 63" xfId="1396"/>
    <cellStyle name="Normal 63 2" xfId="4411"/>
    <cellStyle name="Normal 63 2 2" xfId="7491"/>
    <cellStyle name="Normal 63 2 2 2" xfId="13733"/>
    <cellStyle name="Normal 63 2 2 3" xfId="19888"/>
    <cellStyle name="Normal 63 2 2 4" xfId="26015"/>
    <cellStyle name="Normal 63 2 3" xfId="10646"/>
    <cellStyle name="Normal 63 2 4" xfId="16805"/>
    <cellStyle name="Normal 63 2 5" xfId="22933"/>
    <cellStyle name="Normal 63 3" xfId="4410"/>
    <cellStyle name="Normal 63 3 2" xfId="7490"/>
    <cellStyle name="Normal 63 3 2 2" xfId="13732"/>
    <cellStyle name="Normal 63 3 2 3" xfId="19887"/>
    <cellStyle name="Normal 63 3 2 4" xfId="26014"/>
    <cellStyle name="Normal 63 3 3" xfId="10645"/>
    <cellStyle name="Normal 63 3 4" xfId="16804"/>
    <cellStyle name="Normal 63 3 5" xfId="22932"/>
    <cellStyle name="Normal 63 4" xfId="5232"/>
    <cellStyle name="Normal 63 4 2" xfId="11474"/>
    <cellStyle name="Normal 63 4 3" xfId="17629"/>
    <cellStyle name="Normal 63 4 4" xfId="23756"/>
    <cellStyle name="Normal 63 5" xfId="8388"/>
    <cellStyle name="Normal 63 6" xfId="14908"/>
    <cellStyle name="Normal 63 7" xfId="20570"/>
    <cellStyle name="Normal 64" xfId="1745"/>
    <cellStyle name="Normal 64 2" xfId="4413"/>
    <cellStyle name="Normal 64 2 2" xfId="7493"/>
    <cellStyle name="Normal 64 2 2 2" xfId="13735"/>
    <cellStyle name="Normal 64 2 2 3" xfId="19890"/>
    <cellStyle name="Normal 64 2 2 4" xfId="26017"/>
    <cellStyle name="Normal 64 2 3" xfId="10648"/>
    <cellStyle name="Normal 64 2 4" xfId="16807"/>
    <cellStyle name="Normal 64 2 5" xfId="22935"/>
    <cellStyle name="Normal 64 3" xfId="4412"/>
    <cellStyle name="Normal 64 3 2" xfId="7492"/>
    <cellStyle name="Normal 64 3 2 2" xfId="13734"/>
    <cellStyle name="Normal 64 3 2 3" xfId="19889"/>
    <cellStyle name="Normal 64 3 2 4" xfId="26016"/>
    <cellStyle name="Normal 64 3 3" xfId="10647"/>
    <cellStyle name="Normal 64 3 4" xfId="16806"/>
    <cellStyle name="Normal 64 3 5" xfId="22934"/>
    <cellStyle name="Normal 64 4" xfId="5280"/>
    <cellStyle name="Normal 64 4 2" xfId="11522"/>
    <cellStyle name="Normal 64 4 3" xfId="17677"/>
    <cellStyle name="Normal 64 4 4" xfId="23804"/>
    <cellStyle name="Normal 64 5" xfId="8436"/>
    <cellStyle name="Normal 64 6" xfId="14909"/>
    <cellStyle name="Normal 64 7" xfId="20617"/>
    <cellStyle name="Normal 65" xfId="1526"/>
    <cellStyle name="Normal 65 2" xfId="4415"/>
    <cellStyle name="Normal 65 2 2" xfId="7495"/>
    <cellStyle name="Normal 65 2 2 2" xfId="13737"/>
    <cellStyle name="Normal 65 2 2 3" xfId="19892"/>
    <cellStyle name="Normal 65 2 2 4" xfId="26019"/>
    <cellStyle name="Normal 65 2 3" xfId="10650"/>
    <cellStyle name="Normal 65 2 4" xfId="16809"/>
    <cellStyle name="Normal 65 2 5" xfId="22937"/>
    <cellStyle name="Normal 65 3" xfId="4414"/>
    <cellStyle name="Normal 65 3 2" xfId="7494"/>
    <cellStyle name="Normal 65 3 2 2" xfId="13736"/>
    <cellStyle name="Normal 65 3 2 3" xfId="19891"/>
    <cellStyle name="Normal 65 3 2 4" xfId="26018"/>
    <cellStyle name="Normal 65 3 3" xfId="10649"/>
    <cellStyle name="Normal 65 3 4" xfId="16808"/>
    <cellStyle name="Normal 65 3 5" xfId="22936"/>
    <cellStyle name="Normal 65 4" xfId="5249"/>
    <cellStyle name="Normal 65 4 2" xfId="11491"/>
    <cellStyle name="Normal 65 4 3" xfId="17646"/>
    <cellStyle name="Normal 65 4 4" xfId="23773"/>
    <cellStyle name="Normal 65 5" xfId="8405"/>
    <cellStyle name="Normal 65 6" xfId="14910"/>
    <cellStyle name="Normal 65 7" xfId="20587"/>
    <cellStyle name="Normal 66" xfId="1925"/>
    <cellStyle name="Normal 66 2" xfId="4417"/>
    <cellStyle name="Normal 66 2 2" xfId="7497"/>
    <cellStyle name="Normal 66 2 2 2" xfId="13739"/>
    <cellStyle name="Normal 66 2 2 3" xfId="19894"/>
    <cellStyle name="Normal 66 2 2 4" xfId="26021"/>
    <cellStyle name="Normal 66 2 3" xfId="10652"/>
    <cellStyle name="Normal 66 2 4" xfId="16811"/>
    <cellStyle name="Normal 66 2 5" xfId="22939"/>
    <cellStyle name="Normal 66 3" xfId="4416"/>
    <cellStyle name="Normal 66 3 2" xfId="7496"/>
    <cellStyle name="Normal 66 3 2 2" xfId="13738"/>
    <cellStyle name="Normal 66 3 2 3" xfId="19893"/>
    <cellStyle name="Normal 66 3 2 4" xfId="26020"/>
    <cellStyle name="Normal 66 3 3" xfId="10651"/>
    <cellStyle name="Normal 66 3 4" xfId="16810"/>
    <cellStyle name="Normal 66 3 5" xfId="22938"/>
    <cellStyle name="Normal 66 4" xfId="5314"/>
    <cellStyle name="Normal 66 4 2" xfId="11556"/>
    <cellStyle name="Normal 66 4 3" xfId="17711"/>
    <cellStyle name="Normal 66 4 4" xfId="23838"/>
    <cellStyle name="Normal 66 5" xfId="8468"/>
    <cellStyle name="Normal 66 6" xfId="14911"/>
    <cellStyle name="Normal 66 7" xfId="20649"/>
    <cellStyle name="Normal 67" xfId="1423"/>
    <cellStyle name="Normal 67 2" xfId="4419"/>
    <cellStyle name="Normal 67 2 2" xfId="7499"/>
    <cellStyle name="Normal 67 2 2 2" xfId="13741"/>
    <cellStyle name="Normal 67 2 2 3" xfId="19896"/>
    <cellStyle name="Normal 67 2 2 4" xfId="26023"/>
    <cellStyle name="Normal 67 2 3" xfId="10654"/>
    <cellStyle name="Normal 67 2 4" xfId="16813"/>
    <cellStyle name="Normal 67 2 5" xfId="22941"/>
    <cellStyle name="Normal 67 3" xfId="4418"/>
    <cellStyle name="Normal 67 3 2" xfId="7498"/>
    <cellStyle name="Normal 67 3 2 2" xfId="13740"/>
    <cellStyle name="Normal 67 3 2 3" xfId="19895"/>
    <cellStyle name="Normal 67 3 2 4" xfId="26022"/>
    <cellStyle name="Normal 67 3 3" xfId="10653"/>
    <cellStyle name="Normal 67 3 4" xfId="16812"/>
    <cellStyle name="Normal 67 3 5" xfId="22940"/>
    <cellStyle name="Normal 67 4" xfId="5233"/>
    <cellStyle name="Normal 67 4 2" xfId="11475"/>
    <cellStyle name="Normal 67 4 3" xfId="17630"/>
    <cellStyle name="Normal 67 4 4" xfId="23757"/>
    <cellStyle name="Normal 67 5" xfId="8389"/>
    <cellStyle name="Normal 67 6" xfId="14912"/>
    <cellStyle name="Normal 67 7" xfId="20571"/>
    <cellStyle name="Normal 68" xfId="1477"/>
    <cellStyle name="Normal 68 2" xfId="4421"/>
    <cellStyle name="Normal 68 2 2" xfId="7501"/>
    <cellStyle name="Normal 68 2 2 2" xfId="13743"/>
    <cellStyle name="Normal 68 2 2 3" xfId="19898"/>
    <cellStyle name="Normal 68 2 2 4" xfId="26025"/>
    <cellStyle name="Normal 68 2 3" xfId="10656"/>
    <cellStyle name="Normal 68 2 4" xfId="16815"/>
    <cellStyle name="Normal 68 2 5" xfId="22943"/>
    <cellStyle name="Normal 68 3" xfId="4420"/>
    <cellStyle name="Normal 68 3 2" xfId="7500"/>
    <cellStyle name="Normal 68 3 2 2" xfId="13742"/>
    <cellStyle name="Normal 68 3 2 3" xfId="19897"/>
    <cellStyle name="Normal 68 3 2 4" xfId="26024"/>
    <cellStyle name="Normal 68 3 3" xfId="10655"/>
    <cellStyle name="Normal 68 3 4" xfId="16814"/>
    <cellStyle name="Normal 68 3 5" xfId="22942"/>
    <cellStyle name="Normal 68 4" xfId="5241"/>
    <cellStyle name="Normal 68 4 2" xfId="11483"/>
    <cellStyle name="Normal 68 4 3" xfId="17638"/>
    <cellStyle name="Normal 68 4 4" xfId="23765"/>
    <cellStyle name="Normal 68 5" xfId="8397"/>
    <cellStyle name="Normal 68 6" xfId="14913"/>
    <cellStyle name="Normal 68 7" xfId="20579"/>
    <cellStyle name="Normal 69" xfId="1486"/>
    <cellStyle name="Normal 69 2" xfId="4423"/>
    <cellStyle name="Normal 69 2 2" xfId="7503"/>
    <cellStyle name="Normal 69 2 2 2" xfId="13745"/>
    <cellStyle name="Normal 69 2 2 3" xfId="19900"/>
    <cellStyle name="Normal 69 2 2 4" xfId="26027"/>
    <cellStyle name="Normal 69 2 3" xfId="10658"/>
    <cellStyle name="Normal 69 2 4" xfId="16817"/>
    <cellStyle name="Normal 69 2 5" xfId="22945"/>
    <cellStyle name="Normal 69 3" xfId="4422"/>
    <cellStyle name="Normal 69 3 2" xfId="7502"/>
    <cellStyle name="Normal 69 3 2 2" xfId="13744"/>
    <cellStyle name="Normal 69 3 2 3" xfId="19899"/>
    <cellStyle name="Normal 69 3 2 4" xfId="26026"/>
    <cellStyle name="Normal 69 3 3" xfId="10657"/>
    <cellStyle name="Normal 69 3 4" xfId="16816"/>
    <cellStyle name="Normal 69 3 5" xfId="22944"/>
    <cellStyle name="Normal 69 4" xfId="5243"/>
    <cellStyle name="Normal 69 4 2" xfId="11485"/>
    <cellStyle name="Normal 69 4 3" xfId="17640"/>
    <cellStyle name="Normal 69 4 4" xfId="23767"/>
    <cellStyle name="Normal 69 5" xfId="8399"/>
    <cellStyle name="Normal 69 6" xfId="14914"/>
    <cellStyle name="Normal 69 7" xfId="20581"/>
    <cellStyle name="Normal 7" xfId="171"/>
    <cellStyle name="Normal 7 10" xfId="273"/>
    <cellStyle name="Normal 7 10 2" xfId="4426"/>
    <cellStyle name="Normal 7 10 2 2" xfId="7506"/>
    <cellStyle name="Normal 7 10 2 2 2" xfId="13748"/>
    <cellStyle name="Normal 7 10 2 2 3" xfId="19903"/>
    <cellStyle name="Normal 7 10 2 2 4" xfId="26030"/>
    <cellStyle name="Normal 7 10 2 3" xfId="10661"/>
    <cellStyle name="Normal 7 10 2 4" xfId="16820"/>
    <cellStyle name="Normal 7 10 2 5" xfId="22948"/>
    <cellStyle name="Normal 7 10 3" xfId="4425"/>
    <cellStyle name="Normal 7 10 3 2" xfId="7505"/>
    <cellStyle name="Normal 7 10 3 2 2" xfId="13747"/>
    <cellStyle name="Normal 7 10 3 2 3" xfId="19902"/>
    <cellStyle name="Normal 7 10 3 2 4" xfId="26029"/>
    <cellStyle name="Normal 7 10 3 3" xfId="10660"/>
    <cellStyle name="Normal 7 10 3 4" xfId="16819"/>
    <cellStyle name="Normal 7 10 3 5" xfId="22947"/>
    <cellStyle name="Normal 7 10 4" xfId="5052"/>
    <cellStyle name="Normal 7 10 4 2" xfId="11295"/>
    <cellStyle name="Normal 7 10 4 3" xfId="17450"/>
    <cellStyle name="Normal 7 10 4 4" xfId="23577"/>
    <cellStyle name="Normal 7 10 5" xfId="8210"/>
    <cellStyle name="Normal 7 10 6" xfId="15106"/>
    <cellStyle name="Normal 7 10 7" xfId="21234"/>
    <cellStyle name="Normal 7 11" xfId="4427"/>
    <cellStyle name="Normal 7 11 2" xfId="7507"/>
    <cellStyle name="Normal 7 11 2 2" xfId="13749"/>
    <cellStyle name="Normal 7 11 2 3" xfId="19904"/>
    <cellStyle name="Normal 7 11 2 4" xfId="26031"/>
    <cellStyle name="Normal 7 11 3" xfId="10662"/>
    <cellStyle name="Normal 7 11 4" xfId="16821"/>
    <cellStyle name="Normal 7 11 5" xfId="22949"/>
    <cellStyle name="Normal 7 12" xfId="4424"/>
    <cellStyle name="Normal 7 12 2" xfId="7504"/>
    <cellStyle name="Normal 7 12 2 2" xfId="13746"/>
    <cellStyle name="Normal 7 12 2 3" xfId="19901"/>
    <cellStyle name="Normal 7 12 2 4" xfId="26028"/>
    <cellStyle name="Normal 7 12 3" xfId="10659"/>
    <cellStyle name="Normal 7 12 4" xfId="16818"/>
    <cellStyle name="Normal 7 12 5" xfId="22946"/>
    <cellStyle name="Normal 7 13" xfId="4960"/>
    <cellStyle name="Normal 7 13 2" xfId="11204"/>
    <cellStyle name="Normal 7 13 3" xfId="17359"/>
    <cellStyle name="Normal 7 13 4" xfId="23486"/>
    <cellStyle name="Normal 7 14" xfId="8118"/>
    <cellStyle name="Normal 7 15" xfId="14915"/>
    <cellStyle name="Normal 7 16" xfId="20398"/>
    <cellStyle name="Normal 7 2" xfId="326"/>
    <cellStyle name="Normal 7 2 2" xfId="418"/>
    <cellStyle name="Normal 7 2 2 2" xfId="419"/>
    <cellStyle name="Normal 7 2 2 2 2" xfId="1380"/>
    <cellStyle name="Normal 7 2 2 3" xfId="1521"/>
    <cellStyle name="Normal 7 2 3" xfId="420"/>
    <cellStyle name="Normal 7 2 3 2" xfId="1779"/>
    <cellStyle name="Normal 7 2 4" xfId="1404"/>
    <cellStyle name="Normal 7 2 5" xfId="417"/>
    <cellStyle name="Normal 7 2 6" xfId="4428"/>
    <cellStyle name="Normal 7 2 7" xfId="4429"/>
    <cellStyle name="Normal 7 2 7 2" xfId="7508"/>
    <cellStyle name="Normal 7 2 7 2 2" xfId="13750"/>
    <cellStyle name="Normal 7 2 7 2 3" xfId="19905"/>
    <cellStyle name="Normal 7 2 7 2 4" xfId="26032"/>
    <cellStyle name="Normal 7 2 7 3" xfId="10663"/>
    <cellStyle name="Normal 7 2 7 4" xfId="16822"/>
    <cellStyle name="Normal 7 2 7 5" xfId="22950"/>
    <cellStyle name="Normal 7 3" xfId="421"/>
    <cellStyle name="Normal 7 3 2" xfId="422"/>
    <cellStyle name="Normal 7 3 2 2" xfId="1483"/>
    <cellStyle name="Normal 7 3 3" xfId="1635"/>
    <cellStyle name="Normal 7 4" xfId="1100"/>
    <cellStyle name="Normal 7 4 2" xfId="1685"/>
    <cellStyle name="Normal 7 5" xfId="1190"/>
    <cellStyle name="Normal 7 6" xfId="1260"/>
    <cellStyle name="Normal 7 7" xfId="1259"/>
    <cellStyle name="Normal 7 8" xfId="1717"/>
    <cellStyle name="Normal 7 9" xfId="416"/>
    <cellStyle name="Normal 70" xfId="1899"/>
    <cellStyle name="Normal 70 2" xfId="4431"/>
    <cellStyle name="Normal 70 2 2" xfId="7510"/>
    <cellStyle name="Normal 70 2 2 2" xfId="13752"/>
    <cellStyle name="Normal 70 2 2 3" xfId="19907"/>
    <cellStyle name="Normal 70 2 2 4" xfId="26034"/>
    <cellStyle name="Normal 70 2 3" xfId="10665"/>
    <cellStyle name="Normal 70 2 4" xfId="16824"/>
    <cellStyle name="Normal 70 2 5" xfId="22952"/>
    <cellStyle name="Normal 70 3" xfId="4430"/>
    <cellStyle name="Normal 70 3 2" xfId="7509"/>
    <cellStyle name="Normal 70 3 2 2" xfId="13751"/>
    <cellStyle name="Normal 70 3 2 3" xfId="19906"/>
    <cellStyle name="Normal 70 3 2 4" xfId="26033"/>
    <cellStyle name="Normal 70 3 3" xfId="10664"/>
    <cellStyle name="Normal 70 3 4" xfId="16823"/>
    <cellStyle name="Normal 70 3 5" xfId="22951"/>
    <cellStyle name="Normal 70 4" xfId="5307"/>
    <cellStyle name="Normal 70 4 2" xfId="11549"/>
    <cellStyle name="Normal 70 4 3" xfId="17704"/>
    <cellStyle name="Normal 70 4 4" xfId="23831"/>
    <cellStyle name="Normal 70 5" xfId="8462"/>
    <cellStyle name="Normal 70 6" xfId="14916"/>
    <cellStyle name="Normal 70 7" xfId="20643"/>
    <cellStyle name="Normal 71" xfId="1748"/>
    <cellStyle name="Normal 71 2" xfId="4433"/>
    <cellStyle name="Normal 71 2 2" xfId="7512"/>
    <cellStyle name="Normal 71 2 2 2" xfId="13754"/>
    <cellStyle name="Normal 71 2 2 3" xfId="19909"/>
    <cellStyle name="Normal 71 2 2 4" xfId="26036"/>
    <cellStyle name="Normal 71 2 3" xfId="10667"/>
    <cellStyle name="Normal 71 2 4" xfId="16826"/>
    <cellStyle name="Normal 71 2 5" xfId="22954"/>
    <cellStyle name="Normal 71 3" xfId="4432"/>
    <cellStyle name="Normal 71 3 2" xfId="7511"/>
    <cellStyle name="Normal 71 3 2 2" xfId="13753"/>
    <cellStyle name="Normal 71 3 2 3" xfId="19908"/>
    <cellStyle name="Normal 71 3 2 4" xfId="26035"/>
    <cellStyle name="Normal 71 3 3" xfId="10666"/>
    <cellStyle name="Normal 71 3 4" xfId="16825"/>
    <cellStyle name="Normal 71 3 5" xfId="22953"/>
    <cellStyle name="Normal 71 4" xfId="5281"/>
    <cellStyle name="Normal 71 4 2" xfId="11523"/>
    <cellStyle name="Normal 71 4 3" xfId="17678"/>
    <cellStyle name="Normal 71 4 4" xfId="23805"/>
    <cellStyle name="Normal 71 5" xfId="8437"/>
    <cellStyle name="Normal 71 6" xfId="14917"/>
    <cellStyle name="Normal 71 7" xfId="20618"/>
    <cellStyle name="Normal 72" xfId="1871"/>
    <cellStyle name="Normal 72 2" xfId="4435"/>
    <cellStyle name="Normal 72 2 2" xfId="7514"/>
    <cellStyle name="Normal 72 2 2 2" xfId="13756"/>
    <cellStyle name="Normal 72 2 2 3" xfId="19911"/>
    <cellStyle name="Normal 72 2 2 4" xfId="26038"/>
    <cellStyle name="Normal 72 2 3" xfId="10669"/>
    <cellStyle name="Normal 72 2 4" xfId="16828"/>
    <cellStyle name="Normal 72 2 5" xfId="22956"/>
    <cellStyle name="Normal 72 3" xfId="4434"/>
    <cellStyle name="Normal 72 3 2" xfId="7513"/>
    <cellStyle name="Normal 72 3 2 2" xfId="13755"/>
    <cellStyle name="Normal 72 3 2 3" xfId="19910"/>
    <cellStyle name="Normal 72 3 2 4" xfId="26037"/>
    <cellStyle name="Normal 72 3 3" xfId="10668"/>
    <cellStyle name="Normal 72 3 4" xfId="16827"/>
    <cellStyle name="Normal 72 3 5" xfId="22955"/>
    <cellStyle name="Normal 72 4" xfId="5300"/>
    <cellStyle name="Normal 72 4 2" xfId="11542"/>
    <cellStyle name="Normal 72 4 3" xfId="17697"/>
    <cellStyle name="Normal 72 4 4" xfId="23824"/>
    <cellStyle name="Normal 72 5" xfId="8455"/>
    <cellStyle name="Normal 72 6" xfId="14918"/>
    <cellStyle name="Normal 72 7" xfId="20636"/>
    <cellStyle name="Normal 73" xfId="1917"/>
    <cellStyle name="Normal 73 2" xfId="4437"/>
    <cellStyle name="Normal 73 2 2" xfId="7516"/>
    <cellStyle name="Normal 73 2 2 2" xfId="13758"/>
    <cellStyle name="Normal 73 2 2 3" xfId="19913"/>
    <cellStyle name="Normal 73 2 2 4" xfId="26040"/>
    <cellStyle name="Normal 73 2 3" xfId="10671"/>
    <cellStyle name="Normal 73 2 4" xfId="16830"/>
    <cellStyle name="Normal 73 2 5" xfId="22958"/>
    <cellStyle name="Normal 73 3" xfId="4436"/>
    <cellStyle name="Normal 73 3 2" xfId="7515"/>
    <cellStyle name="Normal 73 3 2 2" xfId="13757"/>
    <cellStyle name="Normal 73 3 2 3" xfId="19912"/>
    <cellStyle name="Normal 73 3 2 4" xfId="26039"/>
    <cellStyle name="Normal 73 3 3" xfId="10670"/>
    <cellStyle name="Normal 73 3 4" xfId="16829"/>
    <cellStyle name="Normal 73 3 5" xfId="22957"/>
    <cellStyle name="Normal 73 4" xfId="5313"/>
    <cellStyle name="Normal 73 4 2" xfId="11555"/>
    <cellStyle name="Normal 73 4 3" xfId="17710"/>
    <cellStyle name="Normal 73 4 4" xfId="23837"/>
    <cellStyle name="Normal 73 5" xfId="8467"/>
    <cellStyle name="Normal 73 6" xfId="14919"/>
    <cellStyle name="Normal 73 7" xfId="20648"/>
    <cellStyle name="Normal 74" xfId="1732"/>
    <cellStyle name="Normal 74 2" xfId="4439"/>
    <cellStyle name="Normal 74 2 2" xfId="7518"/>
    <cellStyle name="Normal 74 2 2 2" xfId="13760"/>
    <cellStyle name="Normal 74 2 2 3" xfId="19915"/>
    <cellStyle name="Normal 74 2 2 4" xfId="26042"/>
    <cellStyle name="Normal 74 2 3" xfId="10673"/>
    <cellStyle name="Normal 74 2 4" xfId="16832"/>
    <cellStyle name="Normal 74 2 5" xfId="22960"/>
    <cellStyle name="Normal 74 3" xfId="4438"/>
    <cellStyle name="Normal 74 3 2" xfId="7517"/>
    <cellStyle name="Normal 74 3 2 2" xfId="13759"/>
    <cellStyle name="Normal 74 3 2 3" xfId="19914"/>
    <cellStyle name="Normal 74 3 2 4" xfId="26041"/>
    <cellStyle name="Normal 74 3 3" xfId="10672"/>
    <cellStyle name="Normal 74 3 4" xfId="16831"/>
    <cellStyle name="Normal 74 3 5" xfId="22959"/>
    <cellStyle name="Normal 74 4" xfId="5279"/>
    <cellStyle name="Normal 74 4 2" xfId="11521"/>
    <cellStyle name="Normal 74 4 3" xfId="17676"/>
    <cellStyle name="Normal 74 4 4" xfId="23803"/>
    <cellStyle name="Normal 74 5" xfId="8435"/>
    <cellStyle name="Normal 74 6" xfId="14920"/>
    <cellStyle name="Normal 74 7" xfId="20616"/>
    <cellStyle name="Normal 75" xfId="1938"/>
    <cellStyle name="Normal 76" xfId="1609"/>
    <cellStyle name="Normal 77" xfId="1956"/>
    <cellStyle name="Normal 78" xfId="1960"/>
    <cellStyle name="Normal 79" xfId="1957"/>
    <cellStyle name="Normal 8" xfId="176"/>
    <cellStyle name="Normal 8 10" xfId="4440"/>
    <cellStyle name="Normal 8 10 2" xfId="7519"/>
    <cellStyle name="Normal 8 10 2 2" xfId="13761"/>
    <cellStyle name="Normal 8 10 2 3" xfId="19916"/>
    <cellStyle name="Normal 8 10 2 4" xfId="26043"/>
    <cellStyle name="Normal 8 10 3" xfId="8009"/>
    <cellStyle name="Normal 8 10 4" xfId="10674"/>
    <cellStyle name="Normal 8 10 5" xfId="16833"/>
    <cellStyle name="Normal 8 10 6" xfId="22961"/>
    <cellStyle name="Normal 8 11" xfId="4441"/>
    <cellStyle name="Normal 8 11 2" xfId="7520"/>
    <cellStyle name="Normal 8 11 2 2" xfId="13762"/>
    <cellStyle name="Normal 8 11 2 3" xfId="19917"/>
    <cellStyle name="Normal 8 11 2 4" xfId="26044"/>
    <cellStyle name="Normal 8 11 3" xfId="10675"/>
    <cellStyle name="Normal 8 11 4" xfId="16834"/>
    <cellStyle name="Normal 8 11 5" xfId="22962"/>
    <cellStyle name="Normal 8 2" xfId="424"/>
    <cellStyle name="Normal 8 2 2" xfId="1726"/>
    <cellStyle name="Normal 8 2 2 2" xfId="2361"/>
    <cellStyle name="Normal 8 2 2 2 2" xfId="4443"/>
    <cellStyle name="Normal 8 2 2 2 2 2" xfId="7522"/>
    <cellStyle name="Normal 8 2 2 2 2 2 2" xfId="13764"/>
    <cellStyle name="Normal 8 2 2 2 2 2 3" xfId="19919"/>
    <cellStyle name="Normal 8 2 2 2 2 2 4" xfId="26046"/>
    <cellStyle name="Normal 8 2 2 2 2 3" xfId="10677"/>
    <cellStyle name="Normal 8 2 2 2 2 4" xfId="16836"/>
    <cellStyle name="Normal 8 2 2 2 2 5" xfId="22964"/>
    <cellStyle name="Normal 8 2 2 2 3" xfId="4442"/>
    <cellStyle name="Normal 8 2 2 2 3 2" xfId="7521"/>
    <cellStyle name="Normal 8 2 2 2 3 2 2" xfId="13763"/>
    <cellStyle name="Normal 8 2 2 2 3 2 3" xfId="19918"/>
    <cellStyle name="Normal 8 2 2 2 3 2 4" xfId="26045"/>
    <cellStyle name="Normal 8 2 2 2 3 3" xfId="10676"/>
    <cellStyle name="Normal 8 2 2 2 3 4" xfId="16835"/>
    <cellStyle name="Normal 8 2 2 2 3 5" xfId="22963"/>
    <cellStyle name="Normal 8 2 2 2 4" xfId="5674"/>
    <cellStyle name="Normal 8 2 2 2 4 2" xfId="11916"/>
    <cellStyle name="Normal 8 2 2 2 4 3" xfId="18071"/>
    <cellStyle name="Normal 8 2 2 2 4 4" xfId="24198"/>
    <cellStyle name="Normal 8 2 2 2 5" xfId="8828"/>
    <cellStyle name="Normal 8 2 2 2 6" xfId="14921"/>
    <cellStyle name="Normal 8 2 2 2 7" xfId="21008"/>
    <cellStyle name="Normal 8 2 2 3" xfId="2546"/>
    <cellStyle name="Normal 8 2 3" xfId="1750"/>
    <cellStyle name="Normal 8 2 3 2" xfId="2187"/>
    <cellStyle name="Normal 8 2 3 2 2" xfId="4446"/>
    <cellStyle name="Normal 8 2 3 2 2 2" xfId="7525"/>
    <cellStyle name="Normal 8 2 3 2 2 2 2" xfId="13767"/>
    <cellStyle name="Normal 8 2 3 2 2 2 3" xfId="19922"/>
    <cellStyle name="Normal 8 2 3 2 2 2 4" xfId="26049"/>
    <cellStyle name="Normal 8 2 3 2 2 3" xfId="10680"/>
    <cellStyle name="Normal 8 2 3 2 2 4" xfId="16839"/>
    <cellStyle name="Normal 8 2 3 2 2 5" xfId="22967"/>
    <cellStyle name="Normal 8 2 3 2 3" xfId="4445"/>
    <cellStyle name="Normal 8 2 3 2 3 2" xfId="7524"/>
    <cellStyle name="Normal 8 2 3 2 3 2 2" xfId="13766"/>
    <cellStyle name="Normal 8 2 3 2 3 2 3" xfId="19921"/>
    <cellStyle name="Normal 8 2 3 2 3 2 4" xfId="26048"/>
    <cellStyle name="Normal 8 2 3 2 3 3" xfId="10679"/>
    <cellStyle name="Normal 8 2 3 2 3 4" xfId="16838"/>
    <cellStyle name="Normal 8 2 3 2 3 5" xfId="22966"/>
    <cellStyle name="Normal 8 2 3 2 4" xfId="5500"/>
    <cellStyle name="Normal 8 2 3 2 4 2" xfId="11742"/>
    <cellStyle name="Normal 8 2 3 2 4 3" xfId="17897"/>
    <cellStyle name="Normal 8 2 3 2 4 4" xfId="24024"/>
    <cellStyle name="Normal 8 2 3 2 5" xfId="8654"/>
    <cellStyle name="Normal 8 2 3 2 6" xfId="14923"/>
    <cellStyle name="Normal 8 2 3 2 7" xfId="20834"/>
    <cellStyle name="Normal 8 2 3 3" xfId="4447"/>
    <cellStyle name="Normal 8 2 3 3 2" xfId="7526"/>
    <cellStyle name="Normal 8 2 3 3 2 2" xfId="13768"/>
    <cellStyle name="Normal 8 2 3 3 2 3" xfId="19923"/>
    <cellStyle name="Normal 8 2 3 3 2 4" xfId="26050"/>
    <cellStyle name="Normal 8 2 3 3 3" xfId="10681"/>
    <cellStyle name="Normal 8 2 3 3 4" xfId="16840"/>
    <cellStyle name="Normal 8 2 3 3 5" xfId="22968"/>
    <cellStyle name="Normal 8 2 3 4" xfId="4444"/>
    <cellStyle name="Normal 8 2 3 4 2" xfId="7523"/>
    <cellStyle name="Normal 8 2 3 4 2 2" xfId="13765"/>
    <cellStyle name="Normal 8 2 3 4 2 3" xfId="19920"/>
    <cellStyle name="Normal 8 2 3 4 2 4" xfId="26047"/>
    <cellStyle name="Normal 8 2 3 4 3" xfId="10678"/>
    <cellStyle name="Normal 8 2 3 4 4" xfId="16837"/>
    <cellStyle name="Normal 8 2 3 4 5" xfId="22965"/>
    <cellStyle name="Normal 8 2 3 5" xfId="5282"/>
    <cellStyle name="Normal 8 2 3 5 2" xfId="11524"/>
    <cellStyle name="Normal 8 2 3 5 3" xfId="17679"/>
    <cellStyle name="Normal 8 2 3 5 4" xfId="23806"/>
    <cellStyle name="Normal 8 2 3 6" xfId="8438"/>
    <cellStyle name="Normal 8 2 3 7" xfId="14922"/>
    <cellStyle name="Normal 8 2 3 8" xfId="20619"/>
    <cellStyle name="Normal 8 2 4" xfId="1975"/>
    <cellStyle name="Normal 8 2 4 2" xfId="4449"/>
    <cellStyle name="Normal 8 2 4 2 2" xfId="7528"/>
    <cellStyle name="Normal 8 2 4 2 2 2" xfId="13770"/>
    <cellStyle name="Normal 8 2 4 2 2 3" xfId="19925"/>
    <cellStyle name="Normal 8 2 4 2 2 4" xfId="26052"/>
    <cellStyle name="Normal 8 2 4 2 3" xfId="10683"/>
    <cellStyle name="Normal 8 2 4 2 4" xfId="16842"/>
    <cellStyle name="Normal 8 2 4 2 5" xfId="22970"/>
    <cellStyle name="Normal 8 2 4 3" xfId="4448"/>
    <cellStyle name="Normal 8 2 4 3 2" xfId="7527"/>
    <cellStyle name="Normal 8 2 4 3 2 2" xfId="13769"/>
    <cellStyle name="Normal 8 2 4 3 2 3" xfId="19924"/>
    <cellStyle name="Normal 8 2 4 3 2 4" xfId="26051"/>
    <cellStyle name="Normal 8 2 4 3 3" xfId="10682"/>
    <cellStyle name="Normal 8 2 4 3 4" xfId="16841"/>
    <cellStyle name="Normal 8 2 4 3 5" xfId="22969"/>
    <cellStyle name="Normal 8 2 4 4" xfId="5321"/>
    <cellStyle name="Normal 8 2 4 4 2" xfId="11563"/>
    <cellStyle name="Normal 8 2 4 4 3" xfId="17718"/>
    <cellStyle name="Normal 8 2 4 4 4" xfId="23845"/>
    <cellStyle name="Normal 8 2 4 5" xfId="8476"/>
    <cellStyle name="Normal 8 2 4 6" xfId="14924"/>
    <cellStyle name="Normal 8 2 4 7" xfId="20656"/>
    <cellStyle name="Normal 8 2 5" xfId="4450"/>
    <cellStyle name="Normal 8 2 5 2" xfId="8010"/>
    <cellStyle name="Normal 8 2 5 3" xfId="8011"/>
    <cellStyle name="Normal 8 2 6" xfId="4451"/>
    <cellStyle name="Normal 8 3" xfId="1101"/>
    <cellStyle name="Normal 8 3 2" xfId="1539"/>
    <cellStyle name="Normal 8 3 2 2" xfId="2438"/>
    <cellStyle name="Normal 8 3 2 2 2" xfId="4453"/>
    <cellStyle name="Normal 8 3 2 2 2 2" xfId="7530"/>
    <cellStyle name="Normal 8 3 2 2 2 2 2" xfId="13772"/>
    <cellStyle name="Normal 8 3 2 2 2 2 3" xfId="19927"/>
    <cellStyle name="Normal 8 3 2 2 2 2 4" xfId="26054"/>
    <cellStyle name="Normal 8 3 2 2 2 3" xfId="10685"/>
    <cellStyle name="Normal 8 3 2 2 2 4" xfId="16844"/>
    <cellStyle name="Normal 8 3 2 2 2 5" xfId="22972"/>
    <cellStyle name="Normal 8 3 2 2 3" xfId="4452"/>
    <cellStyle name="Normal 8 3 2 2 3 2" xfId="7529"/>
    <cellStyle name="Normal 8 3 2 2 3 2 2" xfId="13771"/>
    <cellStyle name="Normal 8 3 2 2 3 2 3" xfId="19926"/>
    <cellStyle name="Normal 8 3 2 2 3 2 4" xfId="26053"/>
    <cellStyle name="Normal 8 3 2 2 3 3" xfId="10684"/>
    <cellStyle name="Normal 8 3 2 2 3 4" xfId="16843"/>
    <cellStyle name="Normal 8 3 2 2 3 5" xfId="22971"/>
    <cellStyle name="Normal 8 3 2 2 4" xfId="5751"/>
    <cellStyle name="Normal 8 3 2 2 4 2" xfId="11993"/>
    <cellStyle name="Normal 8 3 2 2 4 3" xfId="18148"/>
    <cellStyle name="Normal 8 3 2 2 4 4" xfId="24275"/>
    <cellStyle name="Normal 8 3 2 2 5" xfId="8905"/>
    <cellStyle name="Normal 8 3 2 2 6" xfId="14925"/>
    <cellStyle name="Normal 8 3 2 2 7" xfId="21085"/>
    <cellStyle name="Normal 8 3 3" xfId="2265"/>
    <cellStyle name="Normal 8 3 3 2" xfId="4455"/>
    <cellStyle name="Normal 8 3 3 2 2" xfId="7532"/>
    <cellStyle name="Normal 8 3 3 2 2 2" xfId="13774"/>
    <cellStyle name="Normal 8 3 3 2 2 3" xfId="19929"/>
    <cellStyle name="Normal 8 3 3 2 2 4" xfId="26056"/>
    <cellStyle name="Normal 8 3 3 2 3" xfId="10687"/>
    <cellStyle name="Normal 8 3 3 2 4" xfId="16846"/>
    <cellStyle name="Normal 8 3 3 2 5" xfId="22974"/>
    <cellStyle name="Normal 8 3 3 3" xfId="4454"/>
    <cellStyle name="Normal 8 3 3 3 2" xfId="7531"/>
    <cellStyle name="Normal 8 3 3 3 2 2" xfId="13773"/>
    <cellStyle name="Normal 8 3 3 3 2 3" xfId="19928"/>
    <cellStyle name="Normal 8 3 3 3 2 4" xfId="26055"/>
    <cellStyle name="Normal 8 3 3 3 3" xfId="10686"/>
    <cellStyle name="Normal 8 3 3 3 4" xfId="16845"/>
    <cellStyle name="Normal 8 3 3 3 5" xfId="22973"/>
    <cellStyle name="Normal 8 3 3 4" xfId="5578"/>
    <cellStyle name="Normal 8 3 3 4 2" xfId="11820"/>
    <cellStyle name="Normal 8 3 3 4 3" xfId="17975"/>
    <cellStyle name="Normal 8 3 3 4 4" xfId="24102"/>
    <cellStyle name="Normal 8 3 3 5" xfId="8732"/>
    <cellStyle name="Normal 8 3 3 6" xfId="14926"/>
    <cellStyle name="Normal 8 3 3 7" xfId="20912"/>
    <cellStyle name="Normal 8 3 4" xfId="2052"/>
    <cellStyle name="Normal 8 3 4 2" xfId="4457"/>
    <cellStyle name="Normal 8 3 4 2 2" xfId="7534"/>
    <cellStyle name="Normal 8 3 4 2 2 2" xfId="13776"/>
    <cellStyle name="Normal 8 3 4 2 2 3" xfId="19931"/>
    <cellStyle name="Normal 8 3 4 2 2 4" xfId="26058"/>
    <cellStyle name="Normal 8 3 4 2 3" xfId="10689"/>
    <cellStyle name="Normal 8 3 4 2 4" xfId="16848"/>
    <cellStyle name="Normal 8 3 4 2 5" xfId="22976"/>
    <cellStyle name="Normal 8 3 4 3" xfId="4456"/>
    <cellStyle name="Normal 8 3 4 3 2" xfId="7533"/>
    <cellStyle name="Normal 8 3 4 3 2 2" xfId="13775"/>
    <cellStyle name="Normal 8 3 4 3 2 3" xfId="19930"/>
    <cellStyle name="Normal 8 3 4 3 2 4" xfId="26057"/>
    <cellStyle name="Normal 8 3 4 3 3" xfId="10688"/>
    <cellStyle name="Normal 8 3 4 3 4" xfId="16847"/>
    <cellStyle name="Normal 8 3 4 3 5" xfId="22975"/>
    <cellStyle name="Normal 8 3 4 4" xfId="5391"/>
    <cellStyle name="Normal 8 3 4 4 2" xfId="11633"/>
    <cellStyle name="Normal 8 3 4 4 3" xfId="17788"/>
    <cellStyle name="Normal 8 3 4 4 4" xfId="23915"/>
    <cellStyle name="Normal 8 3 4 5" xfId="8546"/>
    <cellStyle name="Normal 8 3 4 6" xfId="14927"/>
    <cellStyle name="Normal 8 3 4 7" xfId="20726"/>
    <cellStyle name="Normal 8 3 5" xfId="4458"/>
    <cellStyle name="Normal 8 3 6" xfId="4459"/>
    <cellStyle name="Normal 8 4" xfId="1285"/>
    <cellStyle name="Normal 8 4 2" xfId="2447"/>
    <cellStyle name="Normal 8 4 2 2" xfId="4461"/>
    <cellStyle name="Normal 8 4 2 2 2" xfId="7536"/>
    <cellStyle name="Normal 8 4 2 2 2 2" xfId="13778"/>
    <cellStyle name="Normal 8 4 2 2 2 3" xfId="19933"/>
    <cellStyle name="Normal 8 4 2 2 2 4" xfId="26060"/>
    <cellStyle name="Normal 8 4 2 2 3" xfId="10692"/>
    <cellStyle name="Normal 8 4 2 2 4" xfId="16850"/>
    <cellStyle name="Normal 8 4 2 2 5" xfId="22978"/>
    <cellStyle name="Normal 8 4 2 3" xfId="4460"/>
    <cellStyle name="Normal 8 4 2 3 2" xfId="7535"/>
    <cellStyle name="Normal 8 4 2 3 2 2" xfId="13777"/>
    <cellStyle name="Normal 8 4 2 3 2 3" xfId="19932"/>
    <cellStyle name="Normal 8 4 2 3 2 4" xfId="26059"/>
    <cellStyle name="Normal 8 4 2 3 3" xfId="10691"/>
    <cellStyle name="Normal 8 4 2 3 4" xfId="16849"/>
    <cellStyle name="Normal 8 4 2 3 5" xfId="22977"/>
    <cellStyle name="Normal 8 4 2 4" xfId="5760"/>
    <cellStyle name="Normal 8 4 2 4 2" xfId="12002"/>
    <cellStyle name="Normal 8 4 2 4 3" xfId="18157"/>
    <cellStyle name="Normal 8 4 2 4 4" xfId="24284"/>
    <cellStyle name="Normal 8 4 2 5" xfId="8914"/>
    <cellStyle name="Normal 8 4 2 6" xfId="14928"/>
    <cellStyle name="Normal 8 4 2 7" xfId="21094"/>
    <cellStyle name="Normal 8 4 3" xfId="2275"/>
    <cellStyle name="Normal 8 4 3 2" xfId="4463"/>
    <cellStyle name="Normal 8 4 3 2 2" xfId="7538"/>
    <cellStyle name="Normal 8 4 3 2 2 2" xfId="13780"/>
    <cellStyle name="Normal 8 4 3 2 2 3" xfId="19935"/>
    <cellStyle name="Normal 8 4 3 2 2 4" xfId="26062"/>
    <cellStyle name="Normal 8 4 3 2 3" xfId="10694"/>
    <cellStyle name="Normal 8 4 3 2 4" xfId="16852"/>
    <cellStyle name="Normal 8 4 3 2 5" xfId="22980"/>
    <cellStyle name="Normal 8 4 3 3" xfId="4462"/>
    <cellStyle name="Normal 8 4 3 3 2" xfId="7537"/>
    <cellStyle name="Normal 8 4 3 3 2 2" xfId="13779"/>
    <cellStyle name="Normal 8 4 3 3 2 3" xfId="19934"/>
    <cellStyle name="Normal 8 4 3 3 2 4" xfId="26061"/>
    <cellStyle name="Normal 8 4 3 3 3" xfId="10693"/>
    <cellStyle name="Normal 8 4 3 3 4" xfId="16851"/>
    <cellStyle name="Normal 8 4 3 3 5" xfId="22979"/>
    <cellStyle name="Normal 8 4 3 4" xfId="5588"/>
    <cellStyle name="Normal 8 4 3 4 2" xfId="11830"/>
    <cellStyle name="Normal 8 4 3 4 3" xfId="17985"/>
    <cellStyle name="Normal 8 4 3 4 4" xfId="24112"/>
    <cellStyle name="Normal 8 4 3 5" xfId="8742"/>
    <cellStyle name="Normal 8 4 3 6" xfId="14929"/>
    <cellStyle name="Normal 8 4 3 7" xfId="20922"/>
    <cellStyle name="Normal 8 4 4" xfId="2062"/>
    <cellStyle name="Normal 8 4 4 2" xfId="4465"/>
    <cellStyle name="Normal 8 4 4 2 2" xfId="7540"/>
    <cellStyle name="Normal 8 4 4 2 2 2" xfId="13782"/>
    <cellStyle name="Normal 8 4 4 2 2 3" xfId="19937"/>
    <cellStyle name="Normal 8 4 4 2 2 4" xfId="26064"/>
    <cellStyle name="Normal 8 4 4 2 3" xfId="10696"/>
    <cellStyle name="Normal 8 4 4 2 4" xfId="16854"/>
    <cellStyle name="Normal 8 4 4 2 5" xfId="22982"/>
    <cellStyle name="Normal 8 4 4 3" xfId="4464"/>
    <cellStyle name="Normal 8 4 4 3 2" xfId="7539"/>
    <cellStyle name="Normal 8 4 4 3 2 2" xfId="13781"/>
    <cellStyle name="Normal 8 4 4 3 2 3" xfId="19936"/>
    <cellStyle name="Normal 8 4 4 3 2 4" xfId="26063"/>
    <cellStyle name="Normal 8 4 4 3 3" xfId="10695"/>
    <cellStyle name="Normal 8 4 4 3 4" xfId="16853"/>
    <cellStyle name="Normal 8 4 4 3 5" xfId="22981"/>
    <cellStyle name="Normal 8 4 4 4" xfId="5400"/>
    <cellStyle name="Normal 8 4 4 4 2" xfId="11642"/>
    <cellStyle name="Normal 8 4 4 4 3" xfId="17797"/>
    <cellStyle name="Normal 8 4 4 4 4" xfId="23924"/>
    <cellStyle name="Normal 8 4 4 5" xfId="8555"/>
    <cellStyle name="Normal 8 4 4 6" xfId="14930"/>
    <cellStyle name="Normal 8 4 4 7" xfId="20735"/>
    <cellStyle name="Normal 8 5" xfId="1271"/>
    <cellStyle name="Normal 8 5 2" xfId="2080"/>
    <cellStyle name="Normal 8 5 3" xfId="4467"/>
    <cellStyle name="Normal 8 5 3 2" xfId="7542"/>
    <cellStyle name="Normal 8 5 3 2 2" xfId="13784"/>
    <cellStyle name="Normal 8 5 3 2 3" xfId="19939"/>
    <cellStyle name="Normal 8 5 3 2 4" xfId="26066"/>
    <cellStyle name="Normal 8 5 3 3" xfId="10698"/>
    <cellStyle name="Normal 8 5 3 4" xfId="16856"/>
    <cellStyle name="Normal 8 5 3 5" xfId="22984"/>
    <cellStyle name="Normal 8 5 4" xfId="4466"/>
    <cellStyle name="Normal 8 5 4 2" xfId="7541"/>
    <cellStyle name="Normal 8 5 4 2 2" xfId="13783"/>
    <cellStyle name="Normal 8 5 4 2 3" xfId="19938"/>
    <cellStyle name="Normal 8 5 4 2 4" xfId="26065"/>
    <cellStyle name="Normal 8 5 4 3" xfId="10697"/>
    <cellStyle name="Normal 8 5 4 4" xfId="16855"/>
    <cellStyle name="Normal 8 5 4 5" xfId="22983"/>
    <cellStyle name="Normal 8 5 5" xfId="5212"/>
    <cellStyle name="Normal 8 5 5 2" xfId="11454"/>
    <cellStyle name="Normal 8 5 5 3" xfId="17609"/>
    <cellStyle name="Normal 8 5 5 4" xfId="23736"/>
    <cellStyle name="Normal 8 5 6" xfId="8368"/>
    <cellStyle name="Normal 8 5 7" xfId="14931"/>
    <cellStyle name="Normal 8 5 8" xfId="20550"/>
    <cellStyle name="Normal 8 6" xfId="1503"/>
    <cellStyle name="Normal 8 6 2" xfId="2084"/>
    <cellStyle name="Normal 8 7" xfId="2100"/>
    <cellStyle name="Normal 8 7 2" xfId="2349"/>
    <cellStyle name="Normal 8 7 2 2" xfId="4470"/>
    <cellStyle name="Normal 8 7 2 2 2" xfId="7545"/>
    <cellStyle name="Normal 8 7 2 2 2 2" xfId="13787"/>
    <cellStyle name="Normal 8 7 2 2 2 3" xfId="19942"/>
    <cellStyle name="Normal 8 7 2 2 2 4" xfId="26069"/>
    <cellStyle name="Normal 8 7 2 2 3" xfId="10701"/>
    <cellStyle name="Normal 8 7 2 2 4" xfId="16859"/>
    <cellStyle name="Normal 8 7 2 2 5" xfId="22987"/>
    <cellStyle name="Normal 8 7 2 3" xfId="4469"/>
    <cellStyle name="Normal 8 7 2 3 2" xfId="7544"/>
    <cellStyle name="Normal 8 7 2 3 2 2" xfId="13786"/>
    <cellStyle name="Normal 8 7 2 3 2 3" xfId="19941"/>
    <cellStyle name="Normal 8 7 2 3 2 4" xfId="26068"/>
    <cellStyle name="Normal 8 7 2 3 3" xfId="10700"/>
    <cellStyle name="Normal 8 7 2 3 4" xfId="16858"/>
    <cellStyle name="Normal 8 7 2 3 5" xfId="22986"/>
    <cellStyle name="Normal 8 7 2 4" xfId="5662"/>
    <cellStyle name="Normal 8 7 2 4 2" xfId="11904"/>
    <cellStyle name="Normal 8 7 2 4 3" xfId="18059"/>
    <cellStyle name="Normal 8 7 2 4 4" xfId="24186"/>
    <cellStyle name="Normal 8 7 2 5" xfId="8816"/>
    <cellStyle name="Normal 8 7 2 6" xfId="14933"/>
    <cellStyle name="Normal 8 7 2 7" xfId="20996"/>
    <cellStyle name="Normal 8 7 3" xfId="4471"/>
    <cellStyle name="Normal 8 7 3 2" xfId="7546"/>
    <cellStyle name="Normal 8 7 3 2 2" xfId="13788"/>
    <cellStyle name="Normal 8 7 3 2 3" xfId="19943"/>
    <cellStyle name="Normal 8 7 3 2 4" xfId="26070"/>
    <cellStyle name="Normal 8 7 3 3" xfId="10702"/>
    <cellStyle name="Normal 8 7 3 4" xfId="16860"/>
    <cellStyle name="Normal 8 7 3 5" xfId="22988"/>
    <cellStyle name="Normal 8 7 4" xfId="4468"/>
    <cellStyle name="Normal 8 7 4 2" xfId="7543"/>
    <cellStyle name="Normal 8 7 4 2 2" xfId="13785"/>
    <cellStyle name="Normal 8 7 4 2 3" xfId="19940"/>
    <cellStyle name="Normal 8 7 4 2 4" xfId="26067"/>
    <cellStyle name="Normal 8 7 4 3" xfId="10699"/>
    <cellStyle name="Normal 8 7 4 4" xfId="16857"/>
    <cellStyle name="Normal 8 7 4 5" xfId="22985"/>
    <cellStyle name="Normal 8 7 5" xfId="5417"/>
    <cellStyle name="Normal 8 7 5 2" xfId="11659"/>
    <cellStyle name="Normal 8 7 5 3" xfId="17814"/>
    <cellStyle name="Normal 8 7 5 4" xfId="23941"/>
    <cellStyle name="Normal 8 7 6" xfId="8571"/>
    <cellStyle name="Normal 8 7 7" xfId="14932"/>
    <cellStyle name="Normal 8 7 8" xfId="20751"/>
    <cellStyle name="Normal 8 8" xfId="2116"/>
    <cellStyle name="Normal 8 8 2" xfId="4473"/>
    <cellStyle name="Normal 8 8 2 2" xfId="7548"/>
    <cellStyle name="Normal 8 8 2 2 2" xfId="13790"/>
    <cellStyle name="Normal 8 8 2 2 3" xfId="19945"/>
    <cellStyle name="Normal 8 8 2 2 4" xfId="26072"/>
    <cellStyle name="Normal 8 8 2 3" xfId="10704"/>
    <cellStyle name="Normal 8 8 2 4" xfId="16862"/>
    <cellStyle name="Normal 8 8 2 5" xfId="22990"/>
    <cellStyle name="Normal 8 8 3" xfId="4472"/>
    <cellStyle name="Normal 8 8 3 2" xfId="7547"/>
    <cellStyle name="Normal 8 8 3 2 2" xfId="13789"/>
    <cellStyle name="Normal 8 8 3 2 3" xfId="19944"/>
    <cellStyle name="Normal 8 8 3 2 4" xfId="26071"/>
    <cellStyle name="Normal 8 8 3 3" xfId="10703"/>
    <cellStyle name="Normal 8 8 3 4" xfId="16861"/>
    <cellStyle name="Normal 8 8 3 5" xfId="22989"/>
    <cellStyle name="Normal 8 8 4" xfId="5429"/>
    <cellStyle name="Normal 8 8 4 2" xfId="11671"/>
    <cellStyle name="Normal 8 8 4 3" xfId="17826"/>
    <cellStyle name="Normal 8 8 4 4" xfId="23953"/>
    <cellStyle name="Normal 8 8 5" xfId="8583"/>
    <cellStyle name="Normal 8 8 6" xfId="14934"/>
    <cellStyle name="Normal 8 8 7" xfId="20763"/>
    <cellStyle name="Normal 8 9" xfId="423"/>
    <cellStyle name="Normal 8 9 2" xfId="4474"/>
    <cellStyle name="Normal 8 9 2 2" xfId="7549"/>
    <cellStyle name="Normal 8 9 2 2 2" xfId="13791"/>
    <cellStyle name="Normal 8 9 2 2 3" xfId="19946"/>
    <cellStyle name="Normal 8 9 2 2 4" xfId="26073"/>
    <cellStyle name="Normal 8 9 2 3" xfId="10705"/>
    <cellStyle name="Normal 8 9 2 4" xfId="16863"/>
    <cellStyle name="Normal 8 9 2 5" xfId="22991"/>
    <cellStyle name="Normal 80" xfId="1958"/>
    <cellStyle name="Normal 81" xfId="1959"/>
    <cellStyle name="Normal 82" xfId="1759"/>
    <cellStyle name="Normal 83" xfId="2468"/>
    <cellStyle name="Normal 84" xfId="2464"/>
    <cellStyle name="Normal 85" xfId="2478"/>
    <cellStyle name="Normal 86" xfId="2463"/>
    <cellStyle name="Normal 87" xfId="2477"/>
    <cellStyle name="Normal 88" xfId="2470"/>
    <cellStyle name="Normal 89" xfId="2461"/>
    <cellStyle name="Normal 9" xfId="182"/>
    <cellStyle name="Normal 9 10" xfId="314"/>
    <cellStyle name="Normal 9 10 2" xfId="4477"/>
    <cellStyle name="Normal 9 10 2 2" xfId="7552"/>
    <cellStyle name="Normal 9 10 2 2 2" xfId="13794"/>
    <cellStyle name="Normal 9 10 2 2 3" xfId="19949"/>
    <cellStyle name="Normal 9 10 2 2 4" xfId="26076"/>
    <cellStyle name="Normal 9 10 2 3" xfId="10708"/>
    <cellStyle name="Normal 9 10 2 4" xfId="16866"/>
    <cellStyle name="Normal 9 10 2 5" xfId="22994"/>
    <cellStyle name="Normal 9 10 3" xfId="4476"/>
    <cellStyle name="Normal 9 10 3 2" xfId="7551"/>
    <cellStyle name="Normal 9 10 3 2 2" xfId="13793"/>
    <cellStyle name="Normal 9 10 3 2 3" xfId="19948"/>
    <cellStyle name="Normal 9 10 3 2 4" xfId="26075"/>
    <cellStyle name="Normal 9 10 3 3" xfId="10707"/>
    <cellStyle name="Normal 9 10 3 4" xfId="16865"/>
    <cellStyle name="Normal 9 10 3 5" xfId="22993"/>
    <cellStyle name="Normal 9 10 4" xfId="5064"/>
    <cellStyle name="Normal 9 10 4 2" xfId="11307"/>
    <cellStyle name="Normal 9 10 4 3" xfId="17462"/>
    <cellStyle name="Normal 9 10 4 4" xfId="23589"/>
    <cellStyle name="Normal 9 10 5" xfId="8222"/>
    <cellStyle name="Normal 9 10 6" xfId="15113"/>
    <cellStyle name="Normal 9 10 7" xfId="21241"/>
    <cellStyle name="Normal 9 11" xfId="4478"/>
    <cellStyle name="Normal 9 11 2" xfId="7553"/>
    <cellStyle name="Normal 9 11 2 2" xfId="13795"/>
    <cellStyle name="Normal 9 11 2 3" xfId="19950"/>
    <cellStyle name="Normal 9 11 2 4" xfId="26077"/>
    <cellStyle name="Normal 9 11 3" xfId="10709"/>
    <cellStyle name="Normal 9 11 4" xfId="16867"/>
    <cellStyle name="Normal 9 11 5" xfId="22995"/>
    <cellStyle name="Normal 9 12" xfId="4475"/>
    <cellStyle name="Normal 9 12 2" xfId="7550"/>
    <cellStyle name="Normal 9 12 2 2" xfId="13792"/>
    <cellStyle name="Normal 9 12 2 3" xfId="19947"/>
    <cellStyle name="Normal 9 12 2 4" xfId="26074"/>
    <cellStyle name="Normal 9 12 3" xfId="10706"/>
    <cellStyle name="Normal 9 12 4" xfId="16864"/>
    <cellStyle name="Normal 9 12 5" xfId="22992"/>
    <cellStyle name="Normal 9 13" xfId="4963"/>
    <cellStyle name="Normal 9 13 2" xfId="11207"/>
    <cellStyle name="Normal 9 13 3" xfId="17362"/>
    <cellStyle name="Normal 9 13 4" xfId="23489"/>
    <cellStyle name="Normal 9 14" xfId="8121"/>
    <cellStyle name="Normal 9 15" xfId="14935"/>
    <cellStyle name="Normal 9 16" xfId="20410"/>
    <cellStyle name="Normal 9 2" xfId="1102"/>
    <cellStyle name="Normal 9 2 2" xfId="1452"/>
    <cellStyle name="Normal 9 2 2 2" xfId="4480"/>
    <cellStyle name="Normal 9 2 2 2 2" xfId="7555"/>
    <cellStyle name="Normal 9 2 2 2 2 2" xfId="13797"/>
    <cellStyle name="Normal 9 2 2 2 2 3" xfId="19952"/>
    <cellStyle name="Normal 9 2 2 2 2 4" xfId="26079"/>
    <cellStyle name="Normal 9 2 2 2 3" xfId="10711"/>
    <cellStyle name="Normal 9 2 2 2 4" xfId="16869"/>
    <cellStyle name="Normal 9 2 2 2 5" xfId="22997"/>
    <cellStyle name="Normal 9 2 2 3" xfId="4479"/>
    <cellStyle name="Normal 9 2 2 3 2" xfId="7554"/>
    <cellStyle name="Normal 9 2 2 3 2 2" xfId="13796"/>
    <cellStyle name="Normal 9 2 2 3 2 3" xfId="19951"/>
    <cellStyle name="Normal 9 2 2 3 2 4" xfId="26078"/>
    <cellStyle name="Normal 9 2 2 3 3" xfId="10710"/>
    <cellStyle name="Normal 9 2 2 3 4" xfId="16868"/>
    <cellStyle name="Normal 9 2 2 3 5" xfId="22996"/>
    <cellStyle name="Normal 9 2 2 4" xfId="5237"/>
    <cellStyle name="Normal 9 2 2 4 2" xfId="11479"/>
    <cellStyle name="Normal 9 2 2 4 3" xfId="17634"/>
    <cellStyle name="Normal 9 2 2 4 4" xfId="23761"/>
    <cellStyle name="Normal 9 2 2 5" xfId="8393"/>
    <cellStyle name="Normal 9 2 2 6" xfId="14936"/>
    <cellStyle name="Normal 9 2 2 7" xfId="20575"/>
    <cellStyle name="Normal 9 2 3" xfId="1979"/>
    <cellStyle name="Normal 9 2 4" xfId="2547"/>
    <cellStyle name="Normal 9 2 5" xfId="4481"/>
    <cellStyle name="Normal 9 2 6" xfId="4482"/>
    <cellStyle name="Normal 9 2 6 2" xfId="7556"/>
    <cellStyle name="Normal 9 2 6 2 2" xfId="13798"/>
    <cellStyle name="Normal 9 2 6 2 3" xfId="19953"/>
    <cellStyle name="Normal 9 2 6 2 4" xfId="26080"/>
    <cellStyle name="Normal 9 2 6 3" xfId="10712"/>
    <cellStyle name="Normal 9 2 6 4" xfId="16870"/>
    <cellStyle name="Normal 9 2 6 5" xfId="22998"/>
    <cellStyle name="Normal 9 3" xfId="1262"/>
    <cellStyle name="Normal 9 3 2" xfId="1382"/>
    <cellStyle name="Normal 9 3 2 2" xfId="4484"/>
    <cellStyle name="Normal 9 3 2 2 2" xfId="7558"/>
    <cellStyle name="Normal 9 3 2 2 2 2" xfId="13800"/>
    <cellStyle name="Normal 9 3 2 2 2 3" xfId="19955"/>
    <cellStyle name="Normal 9 3 2 2 2 4" xfId="26082"/>
    <cellStyle name="Normal 9 3 2 2 3" xfId="10714"/>
    <cellStyle name="Normal 9 3 2 2 4" xfId="16872"/>
    <cellStyle name="Normal 9 3 2 2 5" xfId="23000"/>
    <cellStyle name="Normal 9 3 2 3" xfId="4483"/>
    <cellStyle name="Normal 9 3 2 3 2" xfId="7557"/>
    <cellStyle name="Normal 9 3 2 3 2 2" xfId="13799"/>
    <cellStyle name="Normal 9 3 2 3 2 3" xfId="19954"/>
    <cellStyle name="Normal 9 3 2 3 2 4" xfId="26081"/>
    <cellStyle name="Normal 9 3 2 3 3" xfId="10713"/>
    <cellStyle name="Normal 9 3 2 3 4" xfId="16871"/>
    <cellStyle name="Normal 9 3 2 3 5" xfId="22999"/>
    <cellStyle name="Normal 9 3 2 4" xfId="5229"/>
    <cellStyle name="Normal 9 3 2 4 2" xfId="11471"/>
    <cellStyle name="Normal 9 3 2 4 3" xfId="17626"/>
    <cellStyle name="Normal 9 3 2 4 4" xfId="23753"/>
    <cellStyle name="Normal 9 3 2 5" xfId="8385"/>
    <cellStyle name="Normal 9 3 2 6" xfId="14937"/>
    <cellStyle name="Normal 9 3 2 7" xfId="20567"/>
    <cellStyle name="Normal 9 3 3" xfId="2043"/>
    <cellStyle name="Normal 9 4" xfId="1256"/>
    <cellStyle name="Normal 9 4 2" xfId="1530"/>
    <cellStyle name="Normal 9 4 2 2" xfId="4486"/>
    <cellStyle name="Normal 9 4 2 2 2" xfId="7560"/>
    <cellStyle name="Normal 9 4 2 2 2 2" xfId="13802"/>
    <cellStyle name="Normal 9 4 2 2 2 3" xfId="19957"/>
    <cellStyle name="Normal 9 4 2 2 2 4" xfId="26084"/>
    <cellStyle name="Normal 9 4 2 2 3" xfId="10716"/>
    <cellStyle name="Normal 9 4 2 2 4" xfId="16874"/>
    <cellStyle name="Normal 9 4 2 2 5" xfId="23002"/>
    <cellStyle name="Normal 9 4 2 3" xfId="4485"/>
    <cellStyle name="Normal 9 4 2 3 2" xfId="7559"/>
    <cellStyle name="Normal 9 4 2 3 2 2" xfId="13801"/>
    <cellStyle name="Normal 9 4 2 3 2 3" xfId="19956"/>
    <cellStyle name="Normal 9 4 2 3 2 4" xfId="26083"/>
    <cellStyle name="Normal 9 4 2 3 3" xfId="10715"/>
    <cellStyle name="Normal 9 4 2 3 4" xfId="16873"/>
    <cellStyle name="Normal 9 4 2 3 5" xfId="23001"/>
    <cellStyle name="Normal 9 4 2 4" xfId="5251"/>
    <cellStyle name="Normal 9 4 2 4 2" xfId="11493"/>
    <cellStyle name="Normal 9 4 2 4 3" xfId="17648"/>
    <cellStyle name="Normal 9 4 2 4 4" xfId="23775"/>
    <cellStyle name="Normal 9 4 2 5" xfId="8407"/>
    <cellStyle name="Normal 9 4 2 6" xfId="14938"/>
    <cellStyle name="Normal 9 4 2 7" xfId="20589"/>
    <cellStyle name="Normal 9 5" xfId="1796"/>
    <cellStyle name="Normal 9 5 2" xfId="2081"/>
    <cellStyle name="Normal 9 5 3" xfId="4488"/>
    <cellStyle name="Normal 9 5 3 2" xfId="7562"/>
    <cellStyle name="Normal 9 5 3 2 2" xfId="13804"/>
    <cellStyle name="Normal 9 5 3 2 3" xfId="19959"/>
    <cellStyle name="Normal 9 5 3 2 4" xfId="26086"/>
    <cellStyle name="Normal 9 5 3 3" xfId="10718"/>
    <cellStyle name="Normal 9 5 3 4" xfId="16876"/>
    <cellStyle name="Normal 9 5 3 5" xfId="23004"/>
    <cellStyle name="Normal 9 5 4" xfId="4487"/>
    <cellStyle name="Normal 9 5 4 2" xfId="7561"/>
    <cellStyle name="Normal 9 5 4 2 2" xfId="13803"/>
    <cellStyle name="Normal 9 5 4 2 3" xfId="19958"/>
    <cellStyle name="Normal 9 5 4 2 4" xfId="26085"/>
    <cellStyle name="Normal 9 5 4 3" xfId="10717"/>
    <cellStyle name="Normal 9 5 4 4" xfId="16875"/>
    <cellStyle name="Normal 9 5 4 5" xfId="23003"/>
    <cellStyle name="Normal 9 5 5" xfId="5287"/>
    <cellStyle name="Normal 9 5 5 2" xfId="11529"/>
    <cellStyle name="Normal 9 5 5 3" xfId="17684"/>
    <cellStyle name="Normal 9 5 5 4" xfId="23811"/>
    <cellStyle name="Normal 9 5 6" xfId="8443"/>
    <cellStyle name="Normal 9 5 7" xfId="14939"/>
    <cellStyle name="Normal 9 5 8" xfId="20624"/>
    <cellStyle name="Normal 9 6" xfId="1786"/>
    <cellStyle name="Normal 9 6 2" xfId="4489"/>
    <cellStyle name="Normal 9 6 3" xfId="4490"/>
    <cellStyle name="Normal 9 7" xfId="1629"/>
    <cellStyle name="Normal 9 7 2" xfId="4492"/>
    <cellStyle name="Normal 9 7 2 2" xfId="7564"/>
    <cellStyle name="Normal 9 7 2 2 2" xfId="13806"/>
    <cellStyle name="Normal 9 7 2 2 3" xfId="19961"/>
    <cellStyle name="Normal 9 7 2 2 4" xfId="26088"/>
    <cellStyle name="Normal 9 7 2 3" xfId="10720"/>
    <cellStyle name="Normal 9 7 2 4" xfId="16878"/>
    <cellStyle name="Normal 9 7 2 5" xfId="23006"/>
    <cellStyle name="Normal 9 7 3" xfId="4491"/>
    <cellStyle name="Normal 9 7 3 2" xfId="7563"/>
    <cellStyle name="Normal 9 7 3 2 2" xfId="13805"/>
    <cellStyle name="Normal 9 7 3 2 3" xfId="19960"/>
    <cellStyle name="Normal 9 7 3 2 4" xfId="26087"/>
    <cellStyle name="Normal 9 7 3 3" xfId="10719"/>
    <cellStyle name="Normal 9 7 3 4" xfId="16877"/>
    <cellStyle name="Normal 9 7 3 5" xfId="23005"/>
    <cellStyle name="Normal 9 7 4" xfId="5263"/>
    <cellStyle name="Normal 9 7 4 2" xfId="11505"/>
    <cellStyle name="Normal 9 7 4 3" xfId="17660"/>
    <cellStyle name="Normal 9 7 4 4" xfId="23787"/>
    <cellStyle name="Normal 9 7 5" xfId="8419"/>
    <cellStyle name="Normal 9 7 6" xfId="14940"/>
    <cellStyle name="Normal 9 7 7" xfId="20600"/>
    <cellStyle name="Normal 9 8" xfId="1973"/>
    <cellStyle name="Normal 9 9" xfId="425"/>
    <cellStyle name="Normal 90" xfId="2458"/>
    <cellStyle name="Normal 91" xfId="1967"/>
    <cellStyle name="Normal 92" xfId="2459"/>
    <cellStyle name="Normal 93" xfId="2471"/>
    <cellStyle name="Normal 94" xfId="2469"/>
    <cellStyle name="Normal 95" xfId="2473"/>
    <cellStyle name="Normal 96" xfId="2467"/>
    <cellStyle name="Normal 97" xfId="2465"/>
    <cellStyle name="Normal 98" xfId="1968"/>
    <cellStyle name="Normal 99" xfId="2476"/>
    <cellStyle name="Normal_Coffee Exporter FR1" xfId="30"/>
    <cellStyle name="Normal_TSS report template v4" xfId="31"/>
    <cellStyle name="Normale_Annsucvn" xfId="616"/>
    <cellStyle name="Normálna" xfId="0" builtinId="0"/>
    <cellStyle name="Normálna 10" xfId="1595"/>
    <cellStyle name="Normálna 10 2" xfId="4494"/>
    <cellStyle name="Normálna 10 2 2" xfId="7566"/>
    <cellStyle name="Normálna 10 2 2 2" xfId="13808"/>
    <cellStyle name="Normálna 10 2 2 3" xfId="19963"/>
    <cellStyle name="Normálna 10 2 2 4" xfId="26090"/>
    <cellStyle name="Normálna 10 2 3" xfId="10722"/>
    <cellStyle name="Normálna 10 2 4" xfId="16880"/>
    <cellStyle name="Normálna 10 2 5" xfId="23008"/>
    <cellStyle name="Normálna 10 3" xfId="4493"/>
    <cellStyle name="Normálna 10 3 2" xfId="7565"/>
    <cellStyle name="Normálna 10 3 2 2" xfId="13807"/>
    <cellStyle name="Normálna 10 3 2 3" xfId="19962"/>
    <cellStyle name="Normálna 10 3 2 4" xfId="26089"/>
    <cellStyle name="Normálna 10 3 3" xfId="10721"/>
    <cellStyle name="Normálna 10 3 4" xfId="16879"/>
    <cellStyle name="Normálna 10 3 5" xfId="23007"/>
    <cellStyle name="Normálna 10 4" xfId="5257"/>
    <cellStyle name="Normálna 10 4 2" xfId="11499"/>
    <cellStyle name="Normálna 10 4 3" xfId="17654"/>
    <cellStyle name="Normálna 10 4 4" xfId="23781"/>
    <cellStyle name="Normálna 10 5" xfId="8414"/>
    <cellStyle name="Normálna 10 6" xfId="14941"/>
    <cellStyle name="Normálna 10 7" xfId="20595"/>
    <cellStyle name="Normálna 11" xfId="1721"/>
    <cellStyle name="Normálna 12" xfId="1862"/>
    <cellStyle name="Normálna 13" xfId="1455"/>
    <cellStyle name="Normálna 14" xfId="1889"/>
    <cellStyle name="Normálna 14 2" xfId="4496"/>
    <cellStyle name="Normálna 14 2 2" xfId="7568"/>
    <cellStyle name="Normálna 14 2 2 2" xfId="13810"/>
    <cellStyle name="Normálna 14 2 2 3" xfId="19965"/>
    <cellStyle name="Normálna 14 2 2 4" xfId="26092"/>
    <cellStyle name="Normálna 14 2 3" xfId="10724"/>
    <cellStyle name="Normálna 14 2 4" xfId="16882"/>
    <cellStyle name="Normálna 14 2 5" xfId="23010"/>
    <cellStyle name="Normálna 14 3" xfId="4495"/>
    <cellStyle name="Normálna 14 3 2" xfId="7567"/>
    <cellStyle name="Normálna 14 3 2 2" xfId="13809"/>
    <cellStyle name="Normálna 14 3 2 3" xfId="19964"/>
    <cellStyle name="Normálna 14 3 2 4" xfId="26091"/>
    <cellStyle name="Normálna 14 3 3" xfId="10723"/>
    <cellStyle name="Normálna 14 3 4" xfId="16881"/>
    <cellStyle name="Normálna 14 3 5" xfId="23009"/>
    <cellStyle name="Normálna 14 4" xfId="5305"/>
    <cellStyle name="Normálna 14 4 2" xfId="11547"/>
    <cellStyle name="Normálna 14 4 3" xfId="17702"/>
    <cellStyle name="Normálna 14 4 4" xfId="23829"/>
    <cellStyle name="Normálna 14 5" xfId="8460"/>
    <cellStyle name="Normálna 14 6" xfId="14942"/>
    <cellStyle name="Normálna 14 7" xfId="20641"/>
    <cellStyle name="Normálna 15" xfId="8012"/>
    <cellStyle name="Normálna 15 2" xfId="11096"/>
    <cellStyle name="Normálna 15 3" xfId="17251"/>
    <cellStyle name="Normálna 15 4" xfId="23378"/>
    <cellStyle name="Normálna 2" xfId="29"/>
    <cellStyle name="Normálna 2 10" xfId="1514"/>
    <cellStyle name="Normálna 2 11" xfId="1461"/>
    <cellStyle name="Normálna 2 12" xfId="2597"/>
    <cellStyle name="Normálna 2 13" xfId="2646"/>
    <cellStyle name="Normálna 2 14" xfId="4862"/>
    <cellStyle name="Normálna 2 14 2" xfId="8013"/>
    <cellStyle name="Normálna 2 14 3" xfId="8014"/>
    <cellStyle name="Normálna 2 14 3 2" xfId="11057"/>
    <cellStyle name="Normálna 2 14 3 3" xfId="17213"/>
    <cellStyle name="Normálna 2 14 3 4" xfId="23340"/>
    <cellStyle name="Normálna 2 14 4" xfId="8047"/>
    <cellStyle name="Normálna 2 15" xfId="4889"/>
    <cellStyle name="Normálna 2 16" xfId="14181"/>
    <cellStyle name="Normálna 2 2" xfId="175"/>
    <cellStyle name="Normálna 2 2 2" xfId="1191"/>
    <cellStyle name="Normálna 2 2 2 2" xfId="1739"/>
    <cellStyle name="Normálna 2 2 2 2 2" xfId="2428"/>
    <cellStyle name="Normálna 2 2 2 2 2 2" xfId="4499"/>
    <cellStyle name="Normálna 2 2 2 2 2 2 2" xfId="7571"/>
    <cellStyle name="Normálna 2 2 2 2 2 2 2 2" xfId="13813"/>
    <cellStyle name="Normálna 2 2 2 2 2 2 2 3" xfId="19968"/>
    <cellStyle name="Normálna 2 2 2 2 2 2 2 4" xfId="26095"/>
    <cellStyle name="Normálna 2 2 2 2 2 2 3" xfId="10727"/>
    <cellStyle name="Normálna 2 2 2 2 2 2 4" xfId="16885"/>
    <cellStyle name="Normálna 2 2 2 2 2 2 5" xfId="23013"/>
    <cellStyle name="Normálna 2 2 2 2 2 3" xfId="4498"/>
    <cellStyle name="Normálna 2 2 2 2 2 3 2" xfId="7570"/>
    <cellStyle name="Normálna 2 2 2 2 2 3 2 2" xfId="13812"/>
    <cellStyle name="Normálna 2 2 2 2 2 3 2 3" xfId="19967"/>
    <cellStyle name="Normálna 2 2 2 2 2 3 2 4" xfId="26094"/>
    <cellStyle name="Normálna 2 2 2 2 2 3 3" xfId="10726"/>
    <cellStyle name="Normálna 2 2 2 2 2 3 4" xfId="16884"/>
    <cellStyle name="Normálna 2 2 2 2 2 3 5" xfId="23012"/>
    <cellStyle name="Normálna 2 2 2 2 2 4" xfId="5741"/>
    <cellStyle name="Normálna 2 2 2 2 2 4 2" xfId="11983"/>
    <cellStyle name="Normálna 2 2 2 2 2 4 3" xfId="18138"/>
    <cellStyle name="Normálna 2 2 2 2 2 4 4" xfId="24265"/>
    <cellStyle name="Normálna 2 2 2 2 2 5" xfId="8895"/>
    <cellStyle name="Normálna 2 2 2 2 2 6" xfId="14944"/>
    <cellStyle name="Normálna 2 2 2 2 2 7" xfId="21075"/>
    <cellStyle name="Normálna 2 2 2 3" xfId="2253"/>
    <cellStyle name="Normálna 2 2 2 3 2" xfId="4501"/>
    <cellStyle name="Normálna 2 2 2 3 2 2" xfId="7573"/>
    <cellStyle name="Normálna 2 2 2 3 2 2 2" xfId="13815"/>
    <cellStyle name="Normálna 2 2 2 3 2 2 3" xfId="19970"/>
    <cellStyle name="Normálna 2 2 2 3 2 2 4" xfId="26097"/>
    <cellStyle name="Normálna 2 2 2 3 2 3" xfId="10729"/>
    <cellStyle name="Normálna 2 2 2 3 2 4" xfId="16887"/>
    <cellStyle name="Normálna 2 2 2 3 2 5" xfId="23015"/>
    <cellStyle name="Normálna 2 2 2 3 3" xfId="4500"/>
    <cellStyle name="Normálna 2 2 2 3 3 2" xfId="7572"/>
    <cellStyle name="Normálna 2 2 2 3 3 2 2" xfId="13814"/>
    <cellStyle name="Normálna 2 2 2 3 3 2 3" xfId="19969"/>
    <cellStyle name="Normálna 2 2 2 3 3 2 4" xfId="26096"/>
    <cellStyle name="Normálna 2 2 2 3 3 3" xfId="10728"/>
    <cellStyle name="Normálna 2 2 2 3 3 4" xfId="16886"/>
    <cellStyle name="Normálna 2 2 2 3 3 5" xfId="23014"/>
    <cellStyle name="Normálna 2 2 2 3 4" xfId="5566"/>
    <cellStyle name="Normálna 2 2 2 3 4 2" xfId="11808"/>
    <cellStyle name="Normálna 2 2 2 3 4 3" xfId="17963"/>
    <cellStyle name="Normálna 2 2 2 3 4 4" xfId="24090"/>
    <cellStyle name="Normálna 2 2 2 3 5" xfId="8720"/>
    <cellStyle name="Normálna 2 2 2 3 6" xfId="14945"/>
    <cellStyle name="Normálna 2 2 2 3 7" xfId="20900"/>
    <cellStyle name="Normálna 2 2 2 4" xfId="4502"/>
    <cellStyle name="Normálna 2 2 2 4 2" xfId="7574"/>
    <cellStyle name="Normálna 2 2 2 4 2 2" xfId="13816"/>
    <cellStyle name="Normálna 2 2 2 4 2 3" xfId="19971"/>
    <cellStyle name="Normálna 2 2 2 4 2 4" xfId="26098"/>
    <cellStyle name="Normálna 2 2 2 4 3" xfId="10730"/>
    <cellStyle name="Normálna 2 2 2 4 4" xfId="16888"/>
    <cellStyle name="Normálna 2 2 2 4 5" xfId="23016"/>
    <cellStyle name="Normálna 2 2 2 5" xfId="4497"/>
    <cellStyle name="Normálna 2 2 2 5 2" xfId="7569"/>
    <cellStyle name="Normálna 2 2 2 5 2 2" xfId="13811"/>
    <cellStyle name="Normálna 2 2 2 5 2 3" xfId="19966"/>
    <cellStyle name="Normálna 2 2 2 5 2 4" xfId="26093"/>
    <cellStyle name="Normálna 2 2 2 5 3" xfId="10725"/>
    <cellStyle name="Normálna 2 2 2 5 4" xfId="16883"/>
    <cellStyle name="Normálna 2 2 2 5 5" xfId="23011"/>
    <cellStyle name="Normálna 2 2 2 6" xfId="5190"/>
    <cellStyle name="Normálna 2 2 2 6 2" xfId="11432"/>
    <cellStyle name="Normálna 2 2 2 6 3" xfId="17587"/>
    <cellStyle name="Normálna 2 2 2 6 4" xfId="23714"/>
    <cellStyle name="Normálna 2 2 2 7" xfId="8348"/>
    <cellStyle name="Normálna 2 2 2 8" xfId="14943"/>
    <cellStyle name="Normálna 2 2 2 9" xfId="20530"/>
    <cellStyle name="Normálna 2 2 3" xfId="1838"/>
    <cellStyle name="Normálna 2 2 3 2" xfId="2350"/>
    <cellStyle name="Normálna 2 2 3 2 2" xfId="4504"/>
    <cellStyle name="Normálna 2 2 3 2 2 2" xfId="7576"/>
    <cellStyle name="Normálna 2 2 3 2 2 2 2" xfId="13818"/>
    <cellStyle name="Normálna 2 2 3 2 2 2 3" xfId="19973"/>
    <cellStyle name="Normálna 2 2 3 2 2 2 4" xfId="26100"/>
    <cellStyle name="Normálna 2 2 3 2 2 3" xfId="10732"/>
    <cellStyle name="Normálna 2 2 3 2 2 4" xfId="16890"/>
    <cellStyle name="Normálna 2 2 3 2 2 5" xfId="23018"/>
    <cellStyle name="Normálna 2 2 3 2 3" xfId="4503"/>
    <cellStyle name="Normálna 2 2 3 2 3 2" xfId="7575"/>
    <cellStyle name="Normálna 2 2 3 2 3 2 2" xfId="13817"/>
    <cellStyle name="Normálna 2 2 3 2 3 2 3" xfId="19972"/>
    <cellStyle name="Normálna 2 2 3 2 3 2 4" xfId="26099"/>
    <cellStyle name="Normálna 2 2 3 2 3 3" xfId="10731"/>
    <cellStyle name="Normálna 2 2 3 2 3 4" xfId="16889"/>
    <cellStyle name="Normálna 2 2 3 2 3 5" xfId="23017"/>
    <cellStyle name="Normálna 2 2 3 2 4" xfId="5663"/>
    <cellStyle name="Normálna 2 2 3 2 4 2" xfId="11905"/>
    <cellStyle name="Normálna 2 2 3 2 4 3" xfId="18060"/>
    <cellStyle name="Normálna 2 2 3 2 4 4" xfId="24187"/>
    <cellStyle name="Normálna 2 2 3 2 5" xfId="8817"/>
    <cellStyle name="Normálna 2 2 3 2 6" xfId="14946"/>
    <cellStyle name="Normálna 2 2 3 2 7" xfId="20997"/>
    <cellStyle name="Normálna 2 2 3 3" xfId="2105"/>
    <cellStyle name="Normálna 2 2 3 3 2" xfId="4506"/>
    <cellStyle name="Normálna 2 2 3 3 2 2" xfId="7578"/>
    <cellStyle name="Normálna 2 2 3 3 2 2 2" xfId="13820"/>
    <cellStyle name="Normálna 2 2 3 3 2 2 3" xfId="19975"/>
    <cellStyle name="Normálna 2 2 3 3 2 2 4" xfId="26102"/>
    <cellStyle name="Normálna 2 2 3 3 2 3" xfId="10734"/>
    <cellStyle name="Normálna 2 2 3 3 2 4" xfId="16892"/>
    <cellStyle name="Normálna 2 2 3 3 2 5" xfId="23020"/>
    <cellStyle name="Normálna 2 2 3 3 3" xfId="4505"/>
    <cellStyle name="Normálna 2 2 3 3 3 2" xfId="7577"/>
    <cellStyle name="Normálna 2 2 3 3 3 2 2" xfId="13819"/>
    <cellStyle name="Normálna 2 2 3 3 3 2 3" xfId="19974"/>
    <cellStyle name="Normálna 2 2 3 3 3 2 4" xfId="26101"/>
    <cellStyle name="Normálna 2 2 3 3 3 3" xfId="10733"/>
    <cellStyle name="Normálna 2 2 3 3 3 4" xfId="16891"/>
    <cellStyle name="Normálna 2 2 3 3 3 5" xfId="23019"/>
    <cellStyle name="Normálna 2 2 3 3 4" xfId="5421"/>
    <cellStyle name="Normálna 2 2 3 3 4 2" xfId="11663"/>
    <cellStyle name="Normálna 2 2 3 3 4 3" xfId="17818"/>
    <cellStyle name="Normálna 2 2 3 3 4 4" xfId="23945"/>
    <cellStyle name="Normálna 2 2 3 3 5" xfId="8575"/>
    <cellStyle name="Normálna 2 2 3 3 6" xfId="14947"/>
    <cellStyle name="Normálna 2 2 3 3 7" xfId="20755"/>
    <cellStyle name="Normálna 2 2 4" xfId="2178"/>
    <cellStyle name="Normálna 2 2 4 2" xfId="4508"/>
    <cellStyle name="Normálna 2 2 4 2 2" xfId="7580"/>
    <cellStyle name="Normálna 2 2 4 2 2 2" xfId="13822"/>
    <cellStyle name="Normálna 2 2 4 2 2 3" xfId="19977"/>
    <cellStyle name="Normálna 2 2 4 2 2 4" xfId="26104"/>
    <cellStyle name="Normálna 2 2 4 2 3" xfId="10736"/>
    <cellStyle name="Normálna 2 2 4 2 4" xfId="16894"/>
    <cellStyle name="Normálna 2 2 4 2 5" xfId="23022"/>
    <cellStyle name="Normálna 2 2 4 3" xfId="4507"/>
    <cellStyle name="Normálna 2 2 4 3 2" xfId="7579"/>
    <cellStyle name="Normálna 2 2 4 3 2 2" xfId="13821"/>
    <cellStyle name="Normálna 2 2 4 3 2 3" xfId="19976"/>
    <cellStyle name="Normálna 2 2 4 3 2 4" xfId="26103"/>
    <cellStyle name="Normálna 2 2 4 3 3" xfId="10735"/>
    <cellStyle name="Normálna 2 2 4 3 4" xfId="16893"/>
    <cellStyle name="Normálna 2 2 4 3 5" xfId="23021"/>
    <cellStyle name="Normálna 2 2 4 4" xfId="5491"/>
    <cellStyle name="Normálna 2 2 4 4 2" xfId="11733"/>
    <cellStyle name="Normálna 2 2 4 4 3" xfId="17888"/>
    <cellStyle name="Normálna 2 2 4 4 4" xfId="24015"/>
    <cellStyle name="Normálna 2 2 4 5" xfId="8645"/>
    <cellStyle name="Normálna 2 2 4 6" xfId="14948"/>
    <cellStyle name="Normálna 2 2 4 7" xfId="20825"/>
    <cellStyle name="Normálna 2 2 5" xfId="840"/>
    <cellStyle name="Normálna 2 2 6" xfId="283"/>
    <cellStyle name="Normálna 2 2 7" xfId="14182"/>
    <cellStyle name="Normálna 2 3" xfId="327"/>
    <cellStyle name="Normálna 2 3 10" xfId="14949"/>
    <cellStyle name="Normálna 2 3 11" xfId="20416"/>
    <cellStyle name="Normálna 2 3 2" xfId="1472"/>
    <cellStyle name="Normálna 2 3 2 2" xfId="2456"/>
    <cellStyle name="Normálna 2 3 2 3" xfId="4510"/>
    <cellStyle name="Normálna 2 3 2 3 2" xfId="7582"/>
    <cellStyle name="Normálna 2 3 2 3 2 2" xfId="13824"/>
    <cellStyle name="Normálna 2 3 2 3 2 3" xfId="19979"/>
    <cellStyle name="Normálna 2 3 2 3 2 4" xfId="26106"/>
    <cellStyle name="Normálna 2 3 2 3 3" xfId="10738"/>
    <cellStyle name="Normálna 2 3 2 3 4" xfId="16896"/>
    <cellStyle name="Normálna 2 3 2 3 5" xfId="23024"/>
    <cellStyle name="Normálna 2 3 3" xfId="2103"/>
    <cellStyle name="Normálna 2 3 3 2" xfId="4512"/>
    <cellStyle name="Normálna 2 3 3 2 2" xfId="7584"/>
    <cellStyle name="Normálna 2 3 3 2 2 2" xfId="13826"/>
    <cellStyle name="Normálna 2 3 3 2 2 3" xfId="19981"/>
    <cellStyle name="Normálna 2 3 3 2 2 4" xfId="26108"/>
    <cellStyle name="Normálna 2 3 3 2 3" xfId="10740"/>
    <cellStyle name="Normálna 2 3 3 2 4" xfId="16898"/>
    <cellStyle name="Normálna 2 3 3 2 5" xfId="23026"/>
    <cellStyle name="Normálna 2 3 3 3" xfId="4511"/>
    <cellStyle name="Normálna 2 3 3 3 2" xfId="7583"/>
    <cellStyle name="Normálna 2 3 3 3 2 2" xfId="13825"/>
    <cellStyle name="Normálna 2 3 3 3 2 3" xfId="19980"/>
    <cellStyle name="Normálna 2 3 3 3 2 4" xfId="26107"/>
    <cellStyle name="Normálna 2 3 3 3 3" xfId="10739"/>
    <cellStyle name="Normálna 2 3 3 3 4" xfId="16897"/>
    <cellStyle name="Normálna 2 3 3 3 5" xfId="23025"/>
    <cellStyle name="Normálna 2 3 3 4" xfId="5419"/>
    <cellStyle name="Normálna 2 3 3 4 2" xfId="11661"/>
    <cellStyle name="Normálna 2 3 3 4 3" xfId="17816"/>
    <cellStyle name="Normálna 2 3 3 4 4" xfId="23943"/>
    <cellStyle name="Normálna 2 3 3 5" xfId="8573"/>
    <cellStyle name="Normálna 2 3 3 6" xfId="14950"/>
    <cellStyle name="Normálna 2 3 3 7" xfId="20753"/>
    <cellStyle name="Normálna 2 3 4" xfId="1168"/>
    <cellStyle name="Normálna 2 3 5" xfId="4513"/>
    <cellStyle name="Normálna 2 3 5 2" xfId="7585"/>
    <cellStyle name="Normálna 2 3 5 2 2" xfId="13827"/>
    <cellStyle name="Normálna 2 3 5 2 3" xfId="19982"/>
    <cellStyle name="Normálna 2 3 5 2 4" xfId="26109"/>
    <cellStyle name="Normálna 2 3 5 3" xfId="10741"/>
    <cellStyle name="Normálna 2 3 5 4" xfId="16899"/>
    <cellStyle name="Normálna 2 3 5 5" xfId="23027"/>
    <cellStyle name="Normálna 2 3 6" xfId="4514"/>
    <cellStyle name="Normálna 2 3 7" xfId="4509"/>
    <cellStyle name="Normálna 2 3 7 2" xfId="7581"/>
    <cellStyle name="Normálna 2 3 7 2 2" xfId="13823"/>
    <cellStyle name="Normálna 2 3 7 2 3" xfId="19978"/>
    <cellStyle name="Normálna 2 3 7 2 4" xfId="26105"/>
    <cellStyle name="Normálna 2 3 7 3" xfId="10737"/>
    <cellStyle name="Normálna 2 3 7 4" xfId="16895"/>
    <cellStyle name="Normálna 2 3 7 5" xfId="23023"/>
    <cellStyle name="Normálna 2 3 8" xfId="5070"/>
    <cellStyle name="Normálna 2 3 8 2" xfId="11313"/>
    <cellStyle name="Normálna 2 3 8 3" xfId="17468"/>
    <cellStyle name="Normálna 2 3 8 4" xfId="23595"/>
    <cellStyle name="Normálna 2 3 9" xfId="8228"/>
    <cellStyle name="Normálna 2 4" xfId="1195"/>
    <cellStyle name="Normálna 2 4 2" xfId="1947"/>
    <cellStyle name="Normálna 2 4 3" xfId="1535"/>
    <cellStyle name="Normálna 2 4 4" xfId="4516"/>
    <cellStyle name="Normálna 2 4 4 2" xfId="7587"/>
    <cellStyle name="Normálna 2 4 4 2 2" xfId="13829"/>
    <cellStyle name="Normálna 2 4 4 2 3" xfId="19984"/>
    <cellStyle name="Normálna 2 4 4 2 4" xfId="26111"/>
    <cellStyle name="Normálna 2 4 4 3" xfId="10743"/>
    <cellStyle name="Normálna 2 4 4 4" xfId="16901"/>
    <cellStyle name="Normálna 2 4 4 5" xfId="23029"/>
    <cellStyle name="Normálna 2 4 5" xfId="4515"/>
    <cellStyle name="Normálna 2 4 5 2" xfId="7586"/>
    <cellStyle name="Normálna 2 4 5 2 2" xfId="13828"/>
    <cellStyle name="Normálna 2 4 5 2 3" xfId="19983"/>
    <cellStyle name="Normálna 2 4 5 2 4" xfId="26110"/>
    <cellStyle name="Normálna 2 4 5 3" xfId="10742"/>
    <cellStyle name="Normálna 2 4 5 4" xfId="16900"/>
    <cellStyle name="Normálna 2 4 5 5" xfId="23028"/>
    <cellStyle name="Normálna 2 4 6" xfId="5191"/>
    <cellStyle name="Normálna 2 4 6 2" xfId="11433"/>
    <cellStyle name="Normálna 2 4 6 3" xfId="17588"/>
    <cellStyle name="Normálna 2 4 6 4" xfId="23715"/>
    <cellStyle name="Normálna 2 4 7" xfId="8349"/>
    <cellStyle name="Normálna 2 4 8" xfId="14951"/>
    <cellStyle name="Normálna 2 4 9" xfId="20531"/>
    <cellStyle name="Normálna 2 5" xfId="1304"/>
    <cellStyle name="Normálna 2 5 2" xfId="1946"/>
    <cellStyle name="Normálna 2 5 3" xfId="1465"/>
    <cellStyle name="Normálna 2 5 4" xfId="2260"/>
    <cellStyle name="Normálna 2 5 4 2" xfId="4518"/>
    <cellStyle name="Normálna 2 5 4 2 2" xfId="7589"/>
    <cellStyle name="Normálna 2 5 4 2 2 2" xfId="13831"/>
    <cellStyle name="Normálna 2 5 4 2 2 3" xfId="19986"/>
    <cellStyle name="Normálna 2 5 4 2 2 4" xfId="26113"/>
    <cellStyle name="Normálna 2 5 4 2 3" xfId="10745"/>
    <cellStyle name="Normálna 2 5 4 2 4" xfId="16903"/>
    <cellStyle name="Normálna 2 5 4 2 5" xfId="23031"/>
    <cellStyle name="Normálna 2 5 4 3" xfId="4517"/>
    <cellStyle name="Normálna 2 5 4 3 2" xfId="7588"/>
    <cellStyle name="Normálna 2 5 4 3 2 2" xfId="13830"/>
    <cellStyle name="Normálna 2 5 4 3 2 3" xfId="19985"/>
    <cellStyle name="Normálna 2 5 4 3 2 4" xfId="26112"/>
    <cellStyle name="Normálna 2 5 4 3 3" xfId="10744"/>
    <cellStyle name="Normálna 2 5 4 3 4" xfId="16902"/>
    <cellStyle name="Normálna 2 5 4 3 5" xfId="23030"/>
    <cellStyle name="Normálna 2 5 4 4" xfId="5573"/>
    <cellStyle name="Normálna 2 5 4 4 2" xfId="11815"/>
    <cellStyle name="Normálna 2 5 4 4 3" xfId="17970"/>
    <cellStyle name="Normálna 2 5 4 4 4" xfId="24097"/>
    <cellStyle name="Normálna 2 5 4 5" xfId="8727"/>
    <cellStyle name="Normálna 2 5 4 6" xfId="14952"/>
    <cellStyle name="Normálna 2 5 4 7" xfId="20907"/>
    <cellStyle name="Normálna 2 5 5" xfId="4519"/>
    <cellStyle name="Normálna 2 6" xfId="1812"/>
    <cellStyle name="Normálna 2 6 2" xfId="4520"/>
    <cellStyle name="Normálna 2 7" xfId="1870"/>
    <cellStyle name="Normálna 2 7 2" xfId="4521"/>
    <cellStyle name="Normálna 2 7 2 2" xfId="7590"/>
    <cellStyle name="Normálna 2 7 2 2 2" xfId="13832"/>
    <cellStyle name="Normálna 2 7 2 2 3" xfId="19987"/>
    <cellStyle name="Normálna 2 7 2 2 4" xfId="26114"/>
    <cellStyle name="Normálna 2 7 2 3" xfId="10746"/>
    <cellStyle name="Normálna 2 7 2 4" xfId="16904"/>
    <cellStyle name="Normálna 2 7 2 5" xfId="23032"/>
    <cellStyle name="Normálna 2 8" xfId="1817"/>
    <cellStyle name="Normálna 2 9" xfId="1548"/>
    <cellStyle name="Normálna 3" xfId="284"/>
    <cellStyle name="Normálna 3 2" xfId="328"/>
    <cellStyle name="Normálna 3 2 2" xfId="1406"/>
    <cellStyle name="Normálna 3 2 2 2" xfId="4522"/>
    <cellStyle name="Normálna 3 2 2 2 2" xfId="7591"/>
    <cellStyle name="Normálna 3 2 2 2 2 2" xfId="13833"/>
    <cellStyle name="Normálna 3 2 2 2 2 3" xfId="19988"/>
    <cellStyle name="Normálna 3 2 2 2 2 4" xfId="26115"/>
    <cellStyle name="Normálna 3 2 2 2 3" xfId="10747"/>
    <cellStyle name="Normálna 3 2 2 2 4" xfId="16905"/>
    <cellStyle name="Normálna 3 2 2 2 5" xfId="23033"/>
    <cellStyle name="Normálna 3 2 3" xfId="1613"/>
    <cellStyle name="Normálna 3 2 4" xfId="841"/>
    <cellStyle name="Normálna 3 2 5" xfId="4523"/>
    <cellStyle name="Normálna 3 3" xfId="1169"/>
    <cellStyle name="Normálna 3 3 2" xfId="1540"/>
    <cellStyle name="Normálna 3 3 2 2" xfId="4524"/>
    <cellStyle name="Normálna 3 3 2 2 2" xfId="7592"/>
    <cellStyle name="Normálna 3 3 2 2 2 2" xfId="13834"/>
    <cellStyle name="Normálna 3 3 2 2 2 3" xfId="19989"/>
    <cellStyle name="Normálna 3 3 2 2 2 4" xfId="26116"/>
    <cellStyle name="Normálna 3 3 2 2 3" xfId="10748"/>
    <cellStyle name="Normálna 3 3 2 2 4" xfId="16906"/>
    <cellStyle name="Normálna 3 3 2 2 5" xfId="23034"/>
    <cellStyle name="Normálna 3 3 3" xfId="4525"/>
    <cellStyle name="Normálna 3 3 3 2" xfId="7593"/>
    <cellStyle name="Normálna 3 3 3 2 2" xfId="13835"/>
    <cellStyle name="Normálna 3 3 3 2 3" xfId="19990"/>
    <cellStyle name="Normálna 3 3 3 2 4" xfId="26117"/>
    <cellStyle name="Normálna 3 3 3 3" xfId="10749"/>
    <cellStyle name="Normálna 3 3 3 4" xfId="16907"/>
    <cellStyle name="Normálna 3 3 3 5" xfId="23035"/>
    <cellStyle name="Normálna 3 4" xfId="1658"/>
    <cellStyle name="Normálna 3 4 2" xfId="4526"/>
    <cellStyle name="Normálna 3 4 2 2" xfId="7594"/>
    <cellStyle name="Normálna 3 4 2 2 2" xfId="13836"/>
    <cellStyle name="Normálna 3 4 2 2 3" xfId="19991"/>
    <cellStyle name="Normálna 3 4 2 2 4" xfId="26118"/>
    <cellStyle name="Normálna 3 4 2 3" xfId="10750"/>
    <cellStyle name="Normálna 3 4 2 4" xfId="16908"/>
    <cellStyle name="Normálna 3 4 2 5" xfId="23036"/>
    <cellStyle name="Normálna 3 5" xfId="1672"/>
    <cellStyle name="Normálna 3 6" xfId="483"/>
    <cellStyle name="Normálna 4" xfId="285"/>
    <cellStyle name="Normálna 4 10" xfId="4527"/>
    <cellStyle name="Normálna 4 10 2" xfId="7595"/>
    <cellStyle name="Normálna 4 10 2 2" xfId="13837"/>
    <cellStyle name="Normálna 4 10 2 3" xfId="19992"/>
    <cellStyle name="Normálna 4 10 2 4" xfId="26119"/>
    <cellStyle name="Normálna 4 10 3" xfId="10751"/>
    <cellStyle name="Normálna 4 10 4" xfId="16909"/>
    <cellStyle name="Normálna 4 10 5" xfId="23037"/>
    <cellStyle name="Normálna 4 11" xfId="4865"/>
    <cellStyle name="Normálna 4 12" xfId="5056"/>
    <cellStyle name="Normálna 4 12 2" xfId="11299"/>
    <cellStyle name="Normálna 4 12 3" xfId="17454"/>
    <cellStyle name="Normálna 4 12 4" xfId="23581"/>
    <cellStyle name="Normálna 4 13" xfId="8214"/>
    <cellStyle name="Normálna 4 14" xfId="14953"/>
    <cellStyle name="Normálna 4 15" xfId="20402"/>
    <cellStyle name="Normálna 4 2" xfId="286"/>
    <cellStyle name="Normálna 4 2 10" xfId="14954"/>
    <cellStyle name="Normálna 4 2 11" xfId="20403"/>
    <cellStyle name="Normálna 4 2 2" xfId="330"/>
    <cellStyle name="Normálna 4 2 2 2" xfId="2429"/>
    <cellStyle name="Normálna 4 2 2 2 2" xfId="4530"/>
    <cellStyle name="Normálna 4 2 2 2 2 2" xfId="7598"/>
    <cellStyle name="Normálna 4 2 2 2 2 2 2" xfId="13840"/>
    <cellStyle name="Normálna 4 2 2 2 2 2 3" xfId="19995"/>
    <cellStyle name="Normálna 4 2 2 2 2 2 4" xfId="26122"/>
    <cellStyle name="Normálna 4 2 2 2 2 3" xfId="10754"/>
    <cellStyle name="Normálna 4 2 2 2 2 4" xfId="16912"/>
    <cellStyle name="Normálna 4 2 2 2 2 5" xfId="23040"/>
    <cellStyle name="Normálna 4 2 2 2 3" xfId="4529"/>
    <cellStyle name="Normálna 4 2 2 2 3 2" xfId="7597"/>
    <cellStyle name="Normálna 4 2 2 2 3 2 2" xfId="13839"/>
    <cellStyle name="Normálna 4 2 2 2 3 2 3" xfId="19994"/>
    <cellStyle name="Normálna 4 2 2 2 3 2 4" xfId="26121"/>
    <cellStyle name="Normálna 4 2 2 2 3 3" xfId="10753"/>
    <cellStyle name="Normálna 4 2 2 2 3 4" xfId="16911"/>
    <cellStyle name="Normálna 4 2 2 2 3 5" xfId="23039"/>
    <cellStyle name="Normálna 4 2 2 2 4" xfId="5742"/>
    <cellStyle name="Normálna 4 2 2 2 4 2" xfId="11984"/>
    <cellStyle name="Normálna 4 2 2 2 4 3" xfId="18139"/>
    <cellStyle name="Normálna 4 2 2 2 4 4" xfId="24266"/>
    <cellStyle name="Normálna 4 2 2 2 5" xfId="8896"/>
    <cellStyle name="Normálna 4 2 2 2 6" xfId="14955"/>
    <cellStyle name="Normálna 4 2 2 2 7" xfId="21076"/>
    <cellStyle name="Normálna 4 2 2 3" xfId="1619"/>
    <cellStyle name="Normálna 4 2 2 4" xfId="4531"/>
    <cellStyle name="Normálna 4 2 2 5" xfId="4532"/>
    <cellStyle name="Normálna 4 2 2 5 2" xfId="7599"/>
    <cellStyle name="Normálna 4 2 2 5 2 2" xfId="13841"/>
    <cellStyle name="Normálna 4 2 2 5 2 3" xfId="19996"/>
    <cellStyle name="Normálna 4 2 2 5 2 4" xfId="26123"/>
    <cellStyle name="Normálna 4 2 2 5 3" xfId="10755"/>
    <cellStyle name="Normálna 4 2 2 5 4" xfId="16913"/>
    <cellStyle name="Normálna 4 2 2 5 5" xfId="23041"/>
    <cellStyle name="Normálna 4 2 3" xfId="1912"/>
    <cellStyle name="Normálna 4 2 3 2" xfId="2254"/>
    <cellStyle name="Normálna 4 2 3 2 2" xfId="4534"/>
    <cellStyle name="Normálna 4 2 3 2 2 2" xfId="7601"/>
    <cellStyle name="Normálna 4 2 3 2 2 2 2" xfId="13843"/>
    <cellStyle name="Normálna 4 2 3 2 2 2 3" xfId="19998"/>
    <cellStyle name="Normálna 4 2 3 2 2 2 4" xfId="26125"/>
    <cellStyle name="Normálna 4 2 3 2 2 3" xfId="10757"/>
    <cellStyle name="Normálna 4 2 3 2 2 4" xfId="16915"/>
    <cellStyle name="Normálna 4 2 3 2 2 5" xfId="23043"/>
    <cellStyle name="Normálna 4 2 3 2 3" xfId="4533"/>
    <cellStyle name="Normálna 4 2 3 2 3 2" xfId="7600"/>
    <cellStyle name="Normálna 4 2 3 2 3 2 2" xfId="13842"/>
    <cellStyle name="Normálna 4 2 3 2 3 2 3" xfId="19997"/>
    <cellStyle name="Normálna 4 2 3 2 3 2 4" xfId="26124"/>
    <cellStyle name="Normálna 4 2 3 2 3 3" xfId="10756"/>
    <cellStyle name="Normálna 4 2 3 2 3 4" xfId="16914"/>
    <cellStyle name="Normálna 4 2 3 2 3 5" xfId="23042"/>
    <cellStyle name="Normálna 4 2 3 2 4" xfId="5567"/>
    <cellStyle name="Normálna 4 2 3 2 4 2" xfId="11809"/>
    <cellStyle name="Normálna 4 2 3 2 4 3" xfId="17964"/>
    <cellStyle name="Normálna 4 2 3 2 4 4" xfId="24091"/>
    <cellStyle name="Normálna 4 2 3 2 5" xfId="8721"/>
    <cellStyle name="Normálna 4 2 3 2 6" xfId="14956"/>
    <cellStyle name="Normálna 4 2 3 2 7" xfId="20901"/>
    <cellStyle name="Normálna 4 2 4" xfId="1163"/>
    <cellStyle name="Normálna 4 2 4 2" xfId="4536"/>
    <cellStyle name="Normálna 4 2 4 2 2" xfId="7603"/>
    <cellStyle name="Normálna 4 2 4 2 2 2" xfId="13845"/>
    <cellStyle name="Normálna 4 2 4 2 2 3" xfId="20000"/>
    <cellStyle name="Normálna 4 2 4 2 2 4" xfId="26127"/>
    <cellStyle name="Normálna 4 2 4 2 3" xfId="10759"/>
    <cellStyle name="Normálna 4 2 4 2 4" xfId="16917"/>
    <cellStyle name="Normálna 4 2 4 2 5" xfId="23045"/>
    <cellStyle name="Normálna 4 2 4 3" xfId="4535"/>
    <cellStyle name="Normálna 4 2 4 3 2" xfId="7602"/>
    <cellStyle name="Normálna 4 2 4 3 2 2" xfId="13844"/>
    <cellStyle name="Normálna 4 2 4 3 2 3" xfId="19999"/>
    <cellStyle name="Normálna 4 2 4 3 2 4" xfId="26126"/>
    <cellStyle name="Normálna 4 2 4 3 3" xfId="10758"/>
    <cellStyle name="Normálna 4 2 4 3 4" xfId="16916"/>
    <cellStyle name="Normálna 4 2 4 3 5" xfId="23044"/>
    <cellStyle name="Normálna 4 2 4 4" xfId="5184"/>
    <cellStyle name="Normálna 4 2 4 4 2" xfId="11427"/>
    <cellStyle name="Normálna 4 2 4 4 3" xfId="17582"/>
    <cellStyle name="Normálna 4 2 4 4 4" xfId="23709"/>
    <cellStyle name="Normálna 4 2 4 5" xfId="8342"/>
    <cellStyle name="Normálna 4 2 4 6" xfId="14957"/>
    <cellStyle name="Normálna 4 2 4 7" xfId="20524"/>
    <cellStyle name="Normálna 4 2 5" xfId="4537"/>
    <cellStyle name="Normálna 4 2 5 2" xfId="7604"/>
    <cellStyle name="Normálna 4 2 5 2 2" xfId="13846"/>
    <cellStyle name="Normálna 4 2 5 2 3" xfId="20001"/>
    <cellStyle name="Normálna 4 2 5 2 4" xfId="26128"/>
    <cellStyle name="Normálna 4 2 5 3" xfId="10760"/>
    <cellStyle name="Normálna 4 2 5 4" xfId="16918"/>
    <cellStyle name="Normálna 4 2 5 5" xfId="23046"/>
    <cellStyle name="Normálna 4 2 6" xfId="4538"/>
    <cellStyle name="Normálna 4 2 6 2" xfId="7605"/>
    <cellStyle name="Normálna 4 2 6 2 2" xfId="13847"/>
    <cellStyle name="Normálna 4 2 6 2 3" xfId="20002"/>
    <cellStyle name="Normálna 4 2 6 2 4" xfId="26129"/>
    <cellStyle name="Normálna 4 2 6 3" xfId="10761"/>
    <cellStyle name="Normálna 4 2 6 4" xfId="16919"/>
    <cellStyle name="Normálna 4 2 6 5" xfId="23047"/>
    <cellStyle name="Normálna 4 2 7" xfId="4528"/>
    <cellStyle name="Normálna 4 2 7 2" xfId="7596"/>
    <cellStyle name="Normálna 4 2 7 2 2" xfId="13838"/>
    <cellStyle name="Normálna 4 2 7 2 3" xfId="19993"/>
    <cellStyle name="Normálna 4 2 7 2 4" xfId="26120"/>
    <cellStyle name="Normálna 4 2 7 3" xfId="10752"/>
    <cellStyle name="Normálna 4 2 7 4" xfId="16910"/>
    <cellStyle name="Normálna 4 2 7 5" xfId="23038"/>
    <cellStyle name="Normálna 4 2 8" xfId="5057"/>
    <cellStyle name="Normálna 4 2 8 2" xfId="11300"/>
    <cellStyle name="Normálna 4 2 8 3" xfId="17455"/>
    <cellStyle name="Normálna 4 2 8 4" xfId="23582"/>
    <cellStyle name="Normálna 4 2 9" xfId="8215"/>
    <cellStyle name="Normálna 4 3" xfId="329"/>
    <cellStyle name="Normálna 4 3 2" xfId="2351"/>
    <cellStyle name="Normálna 4 3 2 2" xfId="4540"/>
    <cellStyle name="Normálna 4 3 2 2 2" xfId="7607"/>
    <cellStyle name="Normálna 4 3 2 2 2 2" xfId="13849"/>
    <cellStyle name="Normálna 4 3 2 2 2 3" xfId="20004"/>
    <cellStyle name="Normálna 4 3 2 2 2 4" xfId="26131"/>
    <cellStyle name="Normálna 4 3 2 2 3" xfId="10763"/>
    <cellStyle name="Normálna 4 3 2 2 4" xfId="16921"/>
    <cellStyle name="Normálna 4 3 2 2 5" xfId="23049"/>
    <cellStyle name="Normálna 4 3 2 3" xfId="4539"/>
    <cellStyle name="Normálna 4 3 2 3 2" xfId="7606"/>
    <cellStyle name="Normálna 4 3 2 3 2 2" xfId="13848"/>
    <cellStyle name="Normálna 4 3 2 3 2 3" xfId="20003"/>
    <cellStyle name="Normálna 4 3 2 3 2 4" xfId="26130"/>
    <cellStyle name="Normálna 4 3 2 3 3" xfId="10762"/>
    <cellStyle name="Normálna 4 3 2 3 4" xfId="16920"/>
    <cellStyle name="Normálna 4 3 2 3 5" xfId="23048"/>
    <cellStyle name="Normálna 4 3 2 4" xfId="5664"/>
    <cellStyle name="Normálna 4 3 2 4 2" xfId="11906"/>
    <cellStyle name="Normálna 4 3 2 4 3" xfId="18061"/>
    <cellStyle name="Normálna 4 3 2 4 4" xfId="24188"/>
    <cellStyle name="Normálna 4 3 2 5" xfId="8818"/>
    <cellStyle name="Normálna 4 3 2 6" xfId="14958"/>
    <cellStyle name="Normálna 4 3 2 7" xfId="20998"/>
    <cellStyle name="Normálna 4 3 3" xfId="1348"/>
    <cellStyle name="Normálna 4 3 4" xfId="4541"/>
    <cellStyle name="Normálna 4 3 5" xfId="4542"/>
    <cellStyle name="Normálna 4 3 5 2" xfId="7608"/>
    <cellStyle name="Normálna 4 3 5 2 2" xfId="13850"/>
    <cellStyle name="Normálna 4 3 5 2 3" xfId="20005"/>
    <cellStyle name="Normálna 4 3 5 2 4" xfId="26132"/>
    <cellStyle name="Normálna 4 3 5 3" xfId="10764"/>
    <cellStyle name="Normálna 4 3 5 4" xfId="16922"/>
    <cellStyle name="Normálna 4 3 5 5" xfId="23050"/>
    <cellStyle name="Normálna 4 4" xfId="1913"/>
    <cellStyle name="Normálna 4 4 2" xfId="2179"/>
    <cellStyle name="Normálna 4 4 2 2" xfId="4544"/>
    <cellStyle name="Normálna 4 4 2 2 2" xfId="7610"/>
    <cellStyle name="Normálna 4 4 2 2 2 2" xfId="13852"/>
    <cellStyle name="Normálna 4 4 2 2 2 3" xfId="20007"/>
    <cellStyle name="Normálna 4 4 2 2 2 4" xfId="26134"/>
    <cellStyle name="Normálna 4 4 2 2 3" xfId="10766"/>
    <cellStyle name="Normálna 4 4 2 2 4" xfId="16924"/>
    <cellStyle name="Normálna 4 4 2 2 5" xfId="23052"/>
    <cellStyle name="Normálna 4 4 2 3" xfId="4543"/>
    <cellStyle name="Normálna 4 4 2 3 2" xfId="7609"/>
    <cellStyle name="Normálna 4 4 2 3 2 2" xfId="13851"/>
    <cellStyle name="Normálna 4 4 2 3 2 3" xfId="20006"/>
    <cellStyle name="Normálna 4 4 2 3 2 4" xfId="26133"/>
    <cellStyle name="Normálna 4 4 2 3 3" xfId="10765"/>
    <cellStyle name="Normálna 4 4 2 3 4" xfId="16923"/>
    <cellStyle name="Normálna 4 4 2 3 5" xfId="23051"/>
    <cellStyle name="Normálna 4 4 2 4" xfId="5492"/>
    <cellStyle name="Normálna 4 4 2 4 2" xfId="11734"/>
    <cellStyle name="Normálna 4 4 2 4 3" xfId="17889"/>
    <cellStyle name="Normálna 4 4 2 4 4" xfId="24016"/>
    <cellStyle name="Normálna 4 4 2 5" xfId="8646"/>
    <cellStyle name="Normálna 4 4 2 6" xfId="14959"/>
    <cellStyle name="Normálna 4 4 2 7" xfId="20826"/>
    <cellStyle name="Normálna 4 5" xfId="1611"/>
    <cellStyle name="Normálna 4 5 2" xfId="4545"/>
    <cellStyle name="Normálna 4 5 2 2" xfId="7611"/>
    <cellStyle name="Normálna 4 5 2 2 2" xfId="13853"/>
    <cellStyle name="Normálna 4 5 2 2 3" xfId="20008"/>
    <cellStyle name="Normálna 4 5 2 2 4" xfId="26135"/>
    <cellStyle name="Normálna 4 5 2 3" xfId="10767"/>
    <cellStyle name="Normálna 4 5 2 4" xfId="16925"/>
    <cellStyle name="Normálna 4 5 2 5" xfId="23053"/>
    <cellStyle name="Normálna 4 6" xfId="1741"/>
    <cellStyle name="Normálna 4 7" xfId="852"/>
    <cellStyle name="Normálna 4 8" xfId="4546"/>
    <cellStyle name="Normálna 4 8 2" xfId="7612"/>
    <cellStyle name="Normálna 4 8 2 2" xfId="13854"/>
    <cellStyle name="Normálna 4 8 2 3" xfId="20009"/>
    <cellStyle name="Normálna 4 8 2 4" xfId="26136"/>
    <cellStyle name="Normálna 4 8 3" xfId="10768"/>
    <cellStyle name="Normálna 4 8 4" xfId="16926"/>
    <cellStyle name="Normálna 4 8 5" xfId="23054"/>
    <cellStyle name="Normálna 4 9" xfId="4547"/>
    <cellStyle name="Normálna 4 9 2" xfId="7613"/>
    <cellStyle name="Normálna 4 9 2 2" xfId="13855"/>
    <cellStyle name="Normálna 4 9 2 3" xfId="20010"/>
    <cellStyle name="Normálna 4 9 2 4" xfId="26137"/>
    <cellStyle name="Normálna 4 9 3" xfId="10769"/>
    <cellStyle name="Normálna 4 9 4" xfId="16927"/>
    <cellStyle name="Normálna 4 9 5" xfId="23055"/>
    <cellStyle name="Normálna 5" xfId="287"/>
    <cellStyle name="Normálna 5 2" xfId="331"/>
    <cellStyle name="Normálna 5 2 2" xfId="1934"/>
    <cellStyle name="Normálna 5 2 2 2" xfId="4549"/>
    <cellStyle name="Normálna 5 2 2 2 2" xfId="7615"/>
    <cellStyle name="Normálna 5 2 2 2 2 2" xfId="13857"/>
    <cellStyle name="Normálna 5 2 2 2 2 3" xfId="20012"/>
    <cellStyle name="Normálna 5 2 2 2 2 4" xfId="26139"/>
    <cellStyle name="Normálna 5 2 2 2 3" xfId="10771"/>
    <cellStyle name="Normálna 5 2 2 2 4" xfId="16929"/>
    <cellStyle name="Normálna 5 2 2 2 5" xfId="23057"/>
    <cellStyle name="Normálna 5 2 2 3" xfId="4548"/>
    <cellStyle name="Normálna 5 2 2 3 2" xfId="7614"/>
    <cellStyle name="Normálna 5 2 2 3 2 2" xfId="13856"/>
    <cellStyle name="Normálna 5 2 2 3 2 3" xfId="20011"/>
    <cellStyle name="Normálna 5 2 2 3 2 4" xfId="26138"/>
    <cellStyle name="Normálna 5 2 2 3 3" xfId="10770"/>
    <cellStyle name="Normálna 5 2 2 3 4" xfId="16928"/>
    <cellStyle name="Normálna 5 2 2 3 5" xfId="23056"/>
    <cellStyle name="Normálna 5 2 2 4" xfId="5317"/>
    <cellStyle name="Normálna 5 2 2 4 2" xfId="11559"/>
    <cellStyle name="Normálna 5 2 2 4 3" xfId="17714"/>
    <cellStyle name="Normálna 5 2 2 4 4" xfId="23841"/>
    <cellStyle name="Normálna 5 2 2 5" xfId="8471"/>
    <cellStyle name="Normálna 5 2 2 6" xfId="14960"/>
    <cellStyle name="Normálna 5 2 2 7" xfId="20652"/>
    <cellStyle name="Normálna 5 2 3" xfId="1170"/>
    <cellStyle name="Normálna 5 3" xfId="1617"/>
    <cellStyle name="Normálna 5 4" xfId="1683"/>
    <cellStyle name="Normálna 5 5" xfId="1433"/>
    <cellStyle name="Normálna 5 6" xfId="1928"/>
    <cellStyle name="Normálna 5 6 2" xfId="4551"/>
    <cellStyle name="Normálna 5 6 2 2" xfId="7617"/>
    <cellStyle name="Normálna 5 6 2 2 2" xfId="13859"/>
    <cellStyle name="Normálna 5 6 2 2 3" xfId="20014"/>
    <cellStyle name="Normálna 5 6 2 2 4" xfId="26141"/>
    <cellStyle name="Normálna 5 6 2 3" xfId="10773"/>
    <cellStyle name="Normálna 5 6 2 4" xfId="16931"/>
    <cellStyle name="Normálna 5 6 2 5" xfId="23059"/>
    <cellStyle name="Normálna 5 6 3" xfId="4550"/>
    <cellStyle name="Normálna 5 6 3 2" xfId="7616"/>
    <cellStyle name="Normálna 5 6 3 2 2" xfId="13858"/>
    <cellStyle name="Normálna 5 6 3 2 3" xfId="20013"/>
    <cellStyle name="Normálna 5 6 3 2 4" xfId="26140"/>
    <cellStyle name="Normálna 5 6 3 3" xfId="10772"/>
    <cellStyle name="Normálna 5 6 3 4" xfId="16930"/>
    <cellStyle name="Normálna 5 6 3 5" xfId="23058"/>
    <cellStyle name="Normálna 5 6 4" xfId="5316"/>
    <cellStyle name="Normálna 5 6 4 2" xfId="11558"/>
    <cellStyle name="Normálna 5 6 4 3" xfId="17713"/>
    <cellStyle name="Normálna 5 6 4 4" xfId="23840"/>
    <cellStyle name="Normálna 5 6 5" xfId="8470"/>
    <cellStyle name="Normálna 5 6 6" xfId="14961"/>
    <cellStyle name="Normálna 5 6 7" xfId="20651"/>
    <cellStyle name="Normálna 5 7" xfId="842"/>
    <cellStyle name="Normálna 5 7 2" xfId="4553"/>
    <cellStyle name="Normálna 5 7 2 2" xfId="7619"/>
    <cellStyle name="Normálna 5 7 2 2 2" xfId="13861"/>
    <cellStyle name="Normálna 5 7 2 2 3" xfId="20016"/>
    <cellStyle name="Normálna 5 7 2 2 4" xfId="26143"/>
    <cellStyle name="Normálna 5 7 2 3" xfId="10775"/>
    <cellStyle name="Normálna 5 7 2 4" xfId="16933"/>
    <cellStyle name="Normálna 5 7 2 5" xfId="23061"/>
    <cellStyle name="Normálna 5 7 3" xfId="4552"/>
    <cellStyle name="Normálna 5 7 3 2" xfId="7618"/>
    <cellStyle name="Normálna 5 7 3 2 2" xfId="13860"/>
    <cellStyle name="Normálna 5 7 3 2 3" xfId="20015"/>
    <cellStyle name="Normálna 5 7 3 2 4" xfId="26142"/>
    <cellStyle name="Normálna 5 7 3 3" xfId="10774"/>
    <cellStyle name="Normálna 5 7 3 4" xfId="16932"/>
    <cellStyle name="Normálna 5 7 3 5" xfId="23060"/>
    <cellStyle name="Normálna 5 7 4" xfId="5173"/>
    <cellStyle name="Normálna 5 7 4 2" xfId="11416"/>
    <cellStyle name="Normálna 5 7 4 3" xfId="17571"/>
    <cellStyle name="Normálna 5 7 4 4" xfId="23698"/>
    <cellStyle name="Normálna 5 7 5" xfId="8330"/>
    <cellStyle name="Normálna 5 7 6" xfId="14962"/>
    <cellStyle name="Normálna 5 7 7" xfId="20513"/>
    <cellStyle name="Normálna 5 8" xfId="4554"/>
    <cellStyle name="Normálna 6" xfId="288"/>
    <cellStyle name="Normálna 6 2" xfId="309"/>
    <cellStyle name="Normálna 6 2 2" xfId="4555"/>
    <cellStyle name="Normálna 6 2 2 2" xfId="7620"/>
    <cellStyle name="Normálna 6 2 2 2 2" xfId="13862"/>
    <cellStyle name="Normálna 6 2 2 2 3" xfId="20017"/>
    <cellStyle name="Normálna 6 2 2 2 4" xfId="26144"/>
    <cellStyle name="Normálna 6 2 2 3" xfId="10776"/>
    <cellStyle name="Normálna 6 2 2 4" xfId="16934"/>
    <cellStyle name="Normálna 6 2 2 5" xfId="23062"/>
    <cellStyle name="Normálna 6 3" xfId="1449"/>
    <cellStyle name="Normálna 6 4" xfId="1479"/>
    <cellStyle name="Normálna 6 5" xfId="4556"/>
    <cellStyle name="Normálna 6 5 2" xfId="7621"/>
    <cellStyle name="Normálna 6 5 2 2" xfId="13863"/>
    <cellStyle name="Normálna 6 5 2 3" xfId="20018"/>
    <cellStyle name="Normálna 6 5 2 4" xfId="26145"/>
    <cellStyle name="Normálna 6 5 3" xfId="8015"/>
    <cellStyle name="Normálna 6 5 4" xfId="10777"/>
    <cellStyle name="Normálna 6 5 5" xfId="16935"/>
    <cellStyle name="Normálna 6 5 6" xfId="23063"/>
    <cellStyle name="Normálna 7" xfId="277"/>
    <cellStyle name="Normálna 7 2" xfId="1907"/>
    <cellStyle name="Normálna 7 2 2" xfId="4557"/>
    <cellStyle name="Normálna 7 2 2 2" xfId="7622"/>
    <cellStyle name="Normálna 7 2 2 2 2" xfId="13864"/>
    <cellStyle name="Normálna 7 2 2 2 3" xfId="20019"/>
    <cellStyle name="Normálna 7 2 2 2 4" xfId="26146"/>
    <cellStyle name="Normálna 7 2 2 3" xfId="10778"/>
    <cellStyle name="Normálna 7 2 2 4" xfId="16936"/>
    <cellStyle name="Normálna 7 2 2 5" xfId="23064"/>
    <cellStyle name="Normálna 7 3" xfId="1562"/>
    <cellStyle name="Normálna 7 4" xfId="1430"/>
    <cellStyle name="Normálna 7 5" xfId="4558"/>
    <cellStyle name="Normálna 7 5 2" xfId="7623"/>
    <cellStyle name="Normálna 7 5 2 2" xfId="13865"/>
    <cellStyle name="Normálna 7 5 2 3" xfId="20020"/>
    <cellStyle name="Normálna 7 5 2 4" xfId="26147"/>
    <cellStyle name="Normálna 7 5 3" xfId="8016"/>
    <cellStyle name="Normálna 7 5 4" xfId="10779"/>
    <cellStyle name="Normálna 7 5 5" xfId="16937"/>
    <cellStyle name="Normálna 7 5 6" xfId="23065"/>
    <cellStyle name="Normálna 8" xfId="1386"/>
    <cellStyle name="Normálna 9" xfId="1443"/>
    <cellStyle name="Normálna 9 2" xfId="4560"/>
    <cellStyle name="Normálna 9 2 2" xfId="7625"/>
    <cellStyle name="Normálna 9 2 2 2" xfId="13867"/>
    <cellStyle name="Normálna 9 2 2 3" xfId="20022"/>
    <cellStyle name="Normálna 9 2 2 4" xfId="26149"/>
    <cellStyle name="Normálna 9 2 3" xfId="10781"/>
    <cellStyle name="Normálna 9 2 4" xfId="16939"/>
    <cellStyle name="Normálna 9 2 5" xfId="23067"/>
    <cellStyle name="Normálna 9 3" xfId="4559"/>
    <cellStyle name="Normálna 9 3 2" xfId="7624"/>
    <cellStyle name="Normálna 9 3 2 2" xfId="13866"/>
    <cellStyle name="Normálna 9 3 2 3" xfId="20021"/>
    <cellStyle name="Normálna 9 3 2 4" xfId="26148"/>
    <cellStyle name="Normálna 9 3 3" xfId="10780"/>
    <cellStyle name="Normálna 9 3 4" xfId="16938"/>
    <cellStyle name="Normálna 9 3 5" xfId="23066"/>
    <cellStyle name="Normálna 9 4" xfId="5235"/>
    <cellStyle name="Normálna 9 4 2" xfId="11477"/>
    <cellStyle name="Normálna 9 4 3" xfId="17632"/>
    <cellStyle name="Normálna 9 4 4" xfId="23759"/>
    <cellStyle name="Normálna 9 5" xfId="8391"/>
    <cellStyle name="Normálna 9 6" xfId="14963"/>
    <cellStyle name="Normálna 9 7" xfId="20573"/>
    <cellStyle name="normálne 2" xfId="20"/>
    <cellStyle name="normálne 2 10" xfId="484"/>
    <cellStyle name="Normálne 2 11" xfId="1249"/>
    <cellStyle name="Normálne 2 12" xfId="1251"/>
    <cellStyle name="normálne 2 13" xfId="1276"/>
    <cellStyle name="normálne 2 14" xfId="1298"/>
    <cellStyle name="normálne 2 15" xfId="1288"/>
    <cellStyle name="normálne 2 16" xfId="1266"/>
    <cellStyle name="normálne 2 17" xfId="1301"/>
    <cellStyle name="normálne 2 18" xfId="1278"/>
    <cellStyle name="normálne 2 19" xfId="1296"/>
    <cellStyle name="normálne 2 2" xfId="303"/>
    <cellStyle name="Normálne 2 2 10" xfId="1306"/>
    <cellStyle name="normálne 2 2 11" xfId="1312"/>
    <cellStyle name="normálne 2 2 12" xfId="1361"/>
    <cellStyle name="normálne 2 2 13" xfId="1317"/>
    <cellStyle name="normálne 2 2 14" xfId="1357"/>
    <cellStyle name="normálne 2 2 15" xfId="1345"/>
    <cellStyle name="normálne 2 2 16" xfId="1322"/>
    <cellStyle name="normálne 2 2 17" xfId="1355"/>
    <cellStyle name="normálne 2 2 18" xfId="1364"/>
    <cellStyle name="normálne 2 2 19" xfId="1313"/>
    <cellStyle name="normálne 2 2 2" xfId="843"/>
    <cellStyle name="normálne 2 2 2 2" xfId="1892"/>
    <cellStyle name="normálne 2 2 20" xfId="1314"/>
    <cellStyle name="normálne 2 2 21" xfId="1905"/>
    <cellStyle name="normálne 2 2 22" xfId="1415"/>
    <cellStyle name="normálne 2 2 23" xfId="2525"/>
    <cellStyle name="normálne 2 2 24" xfId="2528"/>
    <cellStyle name="normálne 2 2 3" xfId="1103"/>
    <cellStyle name="Normálne 2 2 4" xfId="1227"/>
    <cellStyle name="Normálne 2 2 5" xfId="1246"/>
    <cellStyle name="Normálne 2 2 6" xfId="1244"/>
    <cellStyle name="Normálne 2 2 7" xfId="1245"/>
    <cellStyle name="Normálne 2 2 8" xfId="1250"/>
    <cellStyle name="Normálne 2 2 9" xfId="1272"/>
    <cellStyle name="normálne 2 20" xfId="1284"/>
    <cellStyle name="normálne 2 21" xfId="1292"/>
    <cellStyle name="normálne 2 22" xfId="1264"/>
    <cellStyle name="normálne 2 23" xfId="1332"/>
    <cellStyle name="normálne 2 24" xfId="1311"/>
    <cellStyle name="normálne 2 25" xfId="1325"/>
    <cellStyle name="normálne 2 26" xfId="1353"/>
    <cellStyle name="normálne 2 27" xfId="1358"/>
    <cellStyle name="normálne 2 28" xfId="1324"/>
    <cellStyle name="normálne 2 29" xfId="1318"/>
    <cellStyle name="normálne 2 3" xfId="302"/>
    <cellStyle name="normálne 2 3 2" xfId="1795"/>
    <cellStyle name="normálne 2 3 3" xfId="820"/>
    <cellStyle name="normálne 2 3 4" xfId="4561"/>
    <cellStyle name="normálne 2 3 4 2" xfId="7626"/>
    <cellStyle name="normálne 2 3 4 2 2" xfId="13868"/>
    <cellStyle name="normálne 2 3 4 2 3" xfId="20023"/>
    <cellStyle name="normálne 2 3 4 2 4" xfId="26150"/>
    <cellStyle name="normálne 2 3 4 3" xfId="10782"/>
    <cellStyle name="normálne 2 3 4 4" xfId="16940"/>
    <cellStyle name="normálne 2 3 4 5" xfId="23068"/>
    <cellStyle name="normálne 2 30" xfId="1328"/>
    <cellStyle name="normálne 2 31" xfId="1362"/>
    <cellStyle name="normálne 2 32" xfId="1354"/>
    <cellStyle name="normálne 2 33" xfId="1323"/>
    <cellStyle name="normálne 2 34" xfId="1360"/>
    <cellStyle name="normálne 2 35" xfId="1321"/>
    <cellStyle name="normálne 2 36" xfId="1955"/>
    <cellStyle name="normálne 2 37" xfId="1827"/>
    <cellStyle name="normálne 2 38" xfId="1966"/>
    <cellStyle name="normálne 2 39" xfId="2085"/>
    <cellStyle name="normálne 2 4" xfId="829"/>
    <cellStyle name="normálne 2 4 2" xfId="1394"/>
    <cellStyle name="normálne 2 4 3" xfId="4562"/>
    <cellStyle name="normálne 2 4 3 2" xfId="7627"/>
    <cellStyle name="normálne 2 4 3 2 2" xfId="13869"/>
    <cellStyle name="normálne 2 4 3 2 3" xfId="20024"/>
    <cellStyle name="normálne 2 4 3 2 4" xfId="26151"/>
    <cellStyle name="normálne 2 4 3 3" xfId="10783"/>
    <cellStyle name="normálne 2 4 3 4" xfId="16941"/>
    <cellStyle name="normálne 2 4 3 5" xfId="23069"/>
    <cellStyle name="normálne 2 40" xfId="2106"/>
    <cellStyle name="normálne 2 41" xfId="1970"/>
    <cellStyle name="normálne 2 42" xfId="2533"/>
    <cellStyle name="normálne 2 43" xfId="2530"/>
    <cellStyle name="normálne 2 44" xfId="2610"/>
    <cellStyle name="normálne 2 45" xfId="2611"/>
    <cellStyle name="normálne 2 46" xfId="2612"/>
    <cellStyle name="normálne 2 47" xfId="2613"/>
    <cellStyle name="normálne 2 48" xfId="2615"/>
    <cellStyle name="normálne 2 49" xfId="2618"/>
    <cellStyle name="normálne 2 5" xfId="1202"/>
    <cellStyle name="Normálne 2 5 2" xfId="1949"/>
    <cellStyle name="normálne 2 5 3" xfId="4563"/>
    <cellStyle name="normálne 2 5 4" xfId="4564"/>
    <cellStyle name="normálne 2 50" xfId="2632"/>
    <cellStyle name="normálne 2 51" xfId="2627"/>
    <cellStyle name="normálne 2 52" xfId="2616"/>
    <cellStyle name="normálne 2 53" xfId="2617"/>
    <cellStyle name="normálne 2 54" xfId="2629"/>
    <cellStyle name="normálne 2 55" xfId="2630"/>
    <cellStyle name="normálne 2 56" xfId="2620"/>
    <cellStyle name="normálne 2 57" xfId="2633"/>
    <cellStyle name="normálne 2 58" xfId="2623"/>
    <cellStyle name="normálne 2 59" xfId="2640"/>
    <cellStyle name="normálne 2 6" xfId="1232"/>
    <cellStyle name="Normálne 2 6 2" xfId="1950"/>
    <cellStyle name="normálne 2 60" xfId="2644"/>
    <cellStyle name="normálne 2 61" xfId="2639"/>
    <cellStyle name="normálne 2 62" xfId="2637"/>
    <cellStyle name="normálne 2 63" xfId="2643"/>
    <cellStyle name="normálne 2 64" xfId="2641"/>
    <cellStyle name="normálne 2 65" xfId="4565"/>
    <cellStyle name="normálne 2 66" xfId="4566"/>
    <cellStyle name="normálne 2 67" xfId="4567"/>
    <cellStyle name="normálne 2 68" xfId="4568"/>
    <cellStyle name="normálne 2 69" xfId="4569"/>
    <cellStyle name="normálne 2 7" xfId="1240"/>
    <cellStyle name="Normálne 2 7 2" xfId="1951"/>
    <cellStyle name="Normálne 2 70" xfId="4866"/>
    <cellStyle name="normálne 2 8" xfId="1241"/>
    <cellStyle name="normálne 2 9" xfId="1242"/>
    <cellStyle name="normálne 2_Sheet4" xfId="1104"/>
    <cellStyle name="normálne 3" xfId="304"/>
    <cellStyle name="normálne 3 10" xfId="427"/>
    <cellStyle name="normálne 3 10 2" xfId="1802"/>
    <cellStyle name="normálne 3 11" xfId="428"/>
    <cellStyle name="normálne 3 11 2" xfId="1578"/>
    <cellStyle name="normálne 3 12" xfId="429"/>
    <cellStyle name="normálne 3 12 2" xfId="1910"/>
    <cellStyle name="normálne 3 13" xfId="430"/>
    <cellStyle name="normálne 3 13 2" xfId="1528"/>
    <cellStyle name="normálne 3 14" xfId="431"/>
    <cellStyle name="normálne 3 14 2" xfId="1894"/>
    <cellStyle name="normálne 3 15" xfId="432"/>
    <cellStyle name="normálne 3 15 2" xfId="1393"/>
    <cellStyle name="normálne 3 16" xfId="831"/>
    <cellStyle name="normálne 3 16 2" xfId="1602"/>
    <cellStyle name="normálne 3 17" xfId="1199"/>
    <cellStyle name="normálne 3 18" xfId="485"/>
    <cellStyle name="normálne 3 19" xfId="1299"/>
    <cellStyle name="normálne 3 19 2" xfId="4571"/>
    <cellStyle name="normálne 3 19 2 2" xfId="7629"/>
    <cellStyle name="normálne 3 19 2 2 2" xfId="13871"/>
    <cellStyle name="normálne 3 19 2 2 3" xfId="20026"/>
    <cellStyle name="normálne 3 19 2 2 4" xfId="26153"/>
    <cellStyle name="normálne 3 19 2 3" xfId="10785"/>
    <cellStyle name="normálne 3 19 2 4" xfId="16943"/>
    <cellStyle name="normálne 3 19 2 5" xfId="23071"/>
    <cellStyle name="normálne 3 19 3" xfId="4570"/>
    <cellStyle name="normálne 3 19 3 2" xfId="7628"/>
    <cellStyle name="normálne 3 19 3 2 2" xfId="13870"/>
    <cellStyle name="normálne 3 19 3 2 3" xfId="20025"/>
    <cellStyle name="normálne 3 19 3 2 4" xfId="26152"/>
    <cellStyle name="normálne 3 19 3 3" xfId="10784"/>
    <cellStyle name="normálne 3 19 3 4" xfId="16942"/>
    <cellStyle name="normálne 3 19 3 5" xfId="23070"/>
    <cellStyle name="normálne 3 19 4" xfId="5221"/>
    <cellStyle name="normálne 3 19 4 2" xfId="11463"/>
    <cellStyle name="normálne 3 19 4 3" xfId="17618"/>
    <cellStyle name="normálne 3 19 4 4" xfId="23745"/>
    <cellStyle name="normálne 3 19 5" xfId="8377"/>
    <cellStyle name="normálne 3 19 6" xfId="14964"/>
    <cellStyle name="normálne 3 19 7" xfId="20559"/>
    <cellStyle name="normálne 3 2" xfId="433"/>
    <cellStyle name="normálne 3 2 2" xfId="1508"/>
    <cellStyle name="normálne 3 2 2 2" xfId="2367"/>
    <cellStyle name="normálne 3 2 2 2 2" xfId="4573"/>
    <cellStyle name="normálne 3 2 2 2 2 2" xfId="7631"/>
    <cellStyle name="normálne 3 2 2 2 2 2 2" xfId="13873"/>
    <cellStyle name="normálne 3 2 2 2 2 2 3" xfId="20028"/>
    <cellStyle name="normálne 3 2 2 2 2 2 4" xfId="26155"/>
    <cellStyle name="normálne 3 2 2 2 2 3" xfId="10787"/>
    <cellStyle name="normálne 3 2 2 2 2 4" xfId="16945"/>
    <cellStyle name="normálne 3 2 2 2 2 5" xfId="23073"/>
    <cellStyle name="normálne 3 2 2 2 3" xfId="4572"/>
    <cellStyle name="normálne 3 2 2 2 3 2" xfId="7630"/>
    <cellStyle name="normálne 3 2 2 2 3 2 2" xfId="13872"/>
    <cellStyle name="normálne 3 2 2 2 3 2 3" xfId="20027"/>
    <cellStyle name="normálne 3 2 2 2 3 2 4" xfId="26154"/>
    <cellStyle name="normálne 3 2 2 2 3 3" xfId="10786"/>
    <cellStyle name="normálne 3 2 2 2 3 4" xfId="16944"/>
    <cellStyle name="normálne 3 2 2 2 3 5" xfId="23072"/>
    <cellStyle name="normálne 3 2 2 2 4" xfId="5680"/>
    <cellStyle name="normálne 3 2 2 2 4 2" xfId="11922"/>
    <cellStyle name="normálne 3 2 2 2 4 3" xfId="18077"/>
    <cellStyle name="normálne 3 2 2 2 4 4" xfId="24204"/>
    <cellStyle name="normálne 3 2 2 2 5" xfId="8834"/>
    <cellStyle name="normálne 3 2 2 2 6" xfId="14965"/>
    <cellStyle name="normálne 3 2 2 2 7" xfId="21014"/>
    <cellStyle name="normálne 3 2 3" xfId="2192"/>
    <cellStyle name="normálne 3 2 3 2" xfId="4575"/>
    <cellStyle name="normálne 3 2 3 2 2" xfId="7633"/>
    <cellStyle name="normálne 3 2 3 2 2 2" xfId="13875"/>
    <cellStyle name="normálne 3 2 3 2 2 3" xfId="20030"/>
    <cellStyle name="normálne 3 2 3 2 2 4" xfId="26157"/>
    <cellStyle name="normálne 3 2 3 2 3" xfId="10789"/>
    <cellStyle name="normálne 3 2 3 2 4" xfId="16947"/>
    <cellStyle name="normálne 3 2 3 2 5" xfId="23075"/>
    <cellStyle name="normálne 3 2 3 3" xfId="4574"/>
    <cellStyle name="normálne 3 2 3 3 2" xfId="7632"/>
    <cellStyle name="normálne 3 2 3 3 2 2" xfId="13874"/>
    <cellStyle name="normálne 3 2 3 3 2 3" xfId="20029"/>
    <cellStyle name="normálne 3 2 3 3 2 4" xfId="26156"/>
    <cellStyle name="normálne 3 2 3 3 3" xfId="10788"/>
    <cellStyle name="normálne 3 2 3 3 4" xfId="16946"/>
    <cellStyle name="normálne 3 2 3 3 5" xfId="23074"/>
    <cellStyle name="normálne 3 2 3 4" xfId="5505"/>
    <cellStyle name="normálne 3 2 3 4 2" xfId="11747"/>
    <cellStyle name="normálne 3 2 3 4 3" xfId="17902"/>
    <cellStyle name="normálne 3 2 3 4 4" xfId="24029"/>
    <cellStyle name="normálne 3 2 3 5" xfId="8659"/>
    <cellStyle name="normálne 3 2 3 6" xfId="14966"/>
    <cellStyle name="normálne 3 2 3 7" xfId="20839"/>
    <cellStyle name="normálne 3 2 4" xfId="1977"/>
    <cellStyle name="normálne 3 2 4 2" xfId="4577"/>
    <cellStyle name="normálne 3 2 4 2 2" xfId="7635"/>
    <cellStyle name="normálne 3 2 4 2 2 2" xfId="13877"/>
    <cellStyle name="normálne 3 2 4 2 2 3" xfId="20032"/>
    <cellStyle name="normálne 3 2 4 2 2 4" xfId="26159"/>
    <cellStyle name="normálne 3 2 4 2 3" xfId="10791"/>
    <cellStyle name="normálne 3 2 4 2 4" xfId="16949"/>
    <cellStyle name="normálne 3 2 4 2 5" xfId="23077"/>
    <cellStyle name="normálne 3 2 4 3" xfId="4576"/>
    <cellStyle name="normálne 3 2 4 3 2" xfId="7634"/>
    <cellStyle name="normálne 3 2 4 3 2 2" xfId="13876"/>
    <cellStyle name="normálne 3 2 4 3 2 3" xfId="20031"/>
    <cellStyle name="normálne 3 2 4 3 2 4" xfId="26158"/>
    <cellStyle name="normálne 3 2 4 3 3" xfId="10790"/>
    <cellStyle name="normálne 3 2 4 3 4" xfId="16948"/>
    <cellStyle name="normálne 3 2 4 3 5" xfId="23076"/>
    <cellStyle name="normálne 3 2 4 4" xfId="5323"/>
    <cellStyle name="normálne 3 2 4 4 2" xfId="11565"/>
    <cellStyle name="normálne 3 2 4 4 3" xfId="17720"/>
    <cellStyle name="normálne 3 2 4 4 4" xfId="23847"/>
    <cellStyle name="normálne 3 2 4 5" xfId="8478"/>
    <cellStyle name="normálne 3 2 4 6" xfId="14967"/>
    <cellStyle name="normálne 3 2 4 7" xfId="20658"/>
    <cellStyle name="normálne 3 20" xfId="1333"/>
    <cellStyle name="normálne 3 21" xfId="1783"/>
    <cellStyle name="normálne 3 22" xfId="426"/>
    <cellStyle name="normálne 3 3" xfId="434"/>
    <cellStyle name="normálne 3 3 2" xfId="1858"/>
    <cellStyle name="normálne 3 3 2 2" xfId="2443"/>
    <cellStyle name="normálne 3 3 2 2 2" xfId="4579"/>
    <cellStyle name="normálne 3 3 2 2 2 2" xfId="7637"/>
    <cellStyle name="normálne 3 3 2 2 2 2 2" xfId="13879"/>
    <cellStyle name="normálne 3 3 2 2 2 2 3" xfId="20034"/>
    <cellStyle name="normálne 3 3 2 2 2 2 4" xfId="26161"/>
    <cellStyle name="normálne 3 3 2 2 2 3" xfId="10793"/>
    <cellStyle name="normálne 3 3 2 2 2 4" xfId="16951"/>
    <cellStyle name="normálne 3 3 2 2 2 5" xfId="23079"/>
    <cellStyle name="normálne 3 3 2 2 3" xfId="4578"/>
    <cellStyle name="normálne 3 3 2 2 3 2" xfId="7636"/>
    <cellStyle name="normálne 3 3 2 2 3 2 2" xfId="13878"/>
    <cellStyle name="normálne 3 3 2 2 3 2 3" xfId="20033"/>
    <cellStyle name="normálne 3 3 2 2 3 2 4" xfId="26160"/>
    <cellStyle name="normálne 3 3 2 2 3 3" xfId="10792"/>
    <cellStyle name="normálne 3 3 2 2 3 4" xfId="16950"/>
    <cellStyle name="normálne 3 3 2 2 3 5" xfId="23078"/>
    <cellStyle name="normálne 3 3 2 2 4" xfId="5756"/>
    <cellStyle name="normálne 3 3 2 2 4 2" xfId="11998"/>
    <cellStyle name="normálne 3 3 2 2 4 3" xfId="18153"/>
    <cellStyle name="normálne 3 3 2 2 4 4" xfId="24280"/>
    <cellStyle name="normálne 3 3 2 2 5" xfId="8910"/>
    <cellStyle name="normálne 3 3 2 2 6" xfId="14968"/>
    <cellStyle name="normálne 3 3 2 2 7" xfId="21090"/>
    <cellStyle name="normálne 3 3 3" xfId="2271"/>
    <cellStyle name="normálne 3 3 3 2" xfId="4581"/>
    <cellStyle name="normálne 3 3 3 2 2" xfId="7639"/>
    <cellStyle name="normálne 3 3 3 2 2 2" xfId="13881"/>
    <cellStyle name="normálne 3 3 3 2 2 3" xfId="20036"/>
    <cellStyle name="normálne 3 3 3 2 2 4" xfId="26163"/>
    <cellStyle name="normálne 3 3 3 2 3" xfId="10795"/>
    <cellStyle name="normálne 3 3 3 2 4" xfId="16953"/>
    <cellStyle name="normálne 3 3 3 2 5" xfId="23081"/>
    <cellStyle name="normálne 3 3 3 3" xfId="4580"/>
    <cellStyle name="normálne 3 3 3 3 2" xfId="7638"/>
    <cellStyle name="normálne 3 3 3 3 2 2" xfId="13880"/>
    <cellStyle name="normálne 3 3 3 3 2 3" xfId="20035"/>
    <cellStyle name="normálne 3 3 3 3 2 4" xfId="26162"/>
    <cellStyle name="normálne 3 3 3 3 3" xfId="10794"/>
    <cellStyle name="normálne 3 3 3 3 4" xfId="16952"/>
    <cellStyle name="normálne 3 3 3 3 5" xfId="23080"/>
    <cellStyle name="normálne 3 3 3 4" xfId="5584"/>
    <cellStyle name="normálne 3 3 3 4 2" xfId="11826"/>
    <cellStyle name="normálne 3 3 3 4 3" xfId="17981"/>
    <cellStyle name="normálne 3 3 3 4 4" xfId="24108"/>
    <cellStyle name="normálne 3 3 3 5" xfId="8738"/>
    <cellStyle name="normálne 3 3 3 6" xfId="14969"/>
    <cellStyle name="normálne 3 3 3 7" xfId="20918"/>
    <cellStyle name="normálne 3 3 4" xfId="2058"/>
    <cellStyle name="normálne 3 3 4 2" xfId="4583"/>
    <cellStyle name="normálne 3 3 4 2 2" xfId="7641"/>
    <cellStyle name="normálne 3 3 4 2 2 2" xfId="13883"/>
    <cellStyle name="normálne 3 3 4 2 2 3" xfId="20038"/>
    <cellStyle name="normálne 3 3 4 2 2 4" xfId="26165"/>
    <cellStyle name="normálne 3 3 4 2 3" xfId="10797"/>
    <cellStyle name="normálne 3 3 4 2 4" xfId="16955"/>
    <cellStyle name="normálne 3 3 4 2 5" xfId="23083"/>
    <cellStyle name="normálne 3 3 4 3" xfId="4582"/>
    <cellStyle name="normálne 3 3 4 3 2" xfId="7640"/>
    <cellStyle name="normálne 3 3 4 3 2 2" xfId="13882"/>
    <cellStyle name="normálne 3 3 4 3 2 3" xfId="20037"/>
    <cellStyle name="normálne 3 3 4 3 2 4" xfId="26164"/>
    <cellStyle name="normálne 3 3 4 3 3" xfId="10796"/>
    <cellStyle name="normálne 3 3 4 3 4" xfId="16954"/>
    <cellStyle name="normálne 3 3 4 3 5" xfId="23082"/>
    <cellStyle name="normálne 3 3 4 4" xfId="5396"/>
    <cellStyle name="normálne 3 3 4 4 2" xfId="11638"/>
    <cellStyle name="normálne 3 3 4 4 3" xfId="17793"/>
    <cellStyle name="normálne 3 3 4 4 4" xfId="23920"/>
    <cellStyle name="normálne 3 3 4 5" xfId="8551"/>
    <cellStyle name="normálne 3 3 4 6" xfId="14970"/>
    <cellStyle name="normálne 3 3 4 7" xfId="20731"/>
    <cellStyle name="normálne 3 4" xfId="435"/>
    <cellStyle name="normálne 3 4 2" xfId="1623"/>
    <cellStyle name="normálne 3 4 2 2" xfId="2453"/>
    <cellStyle name="normálne 3 4 2 2 2" xfId="4585"/>
    <cellStyle name="normálne 3 4 2 2 2 2" xfId="7643"/>
    <cellStyle name="normálne 3 4 2 2 2 2 2" xfId="13885"/>
    <cellStyle name="normálne 3 4 2 2 2 2 3" xfId="20040"/>
    <cellStyle name="normálne 3 4 2 2 2 2 4" xfId="26167"/>
    <cellStyle name="normálne 3 4 2 2 2 3" xfId="10799"/>
    <cellStyle name="normálne 3 4 2 2 2 4" xfId="16957"/>
    <cellStyle name="normálne 3 4 2 2 2 5" xfId="23085"/>
    <cellStyle name="normálne 3 4 2 2 3" xfId="4584"/>
    <cellStyle name="normálne 3 4 2 2 3 2" xfId="7642"/>
    <cellStyle name="normálne 3 4 2 2 3 2 2" xfId="13884"/>
    <cellStyle name="normálne 3 4 2 2 3 2 3" xfId="20039"/>
    <cellStyle name="normálne 3 4 2 2 3 2 4" xfId="26166"/>
    <cellStyle name="normálne 3 4 2 2 3 3" xfId="10798"/>
    <cellStyle name="normálne 3 4 2 2 3 4" xfId="16956"/>
    <cellStyle name="normálne 3 4 2 2 3 5" xfId="23084"/>
    <cellStyle name="normálne 3 4 2 2 4" xfId="5766"/>
    <cellStyle name="normálne 3 4 2 2 4 2" xfId="12008"/>
    <cellStyle name="normálne 3 4 2 2 4 3" xfId="18163"/>
    <cellStyle name="normálne 3 4 2 2 4 4" xfId="24290"/>
    <cellStyle name="normálne 3 4 2 2 5" xfId="8920"/>
    <cellStyle name="normálne 3 4 2 2 6" xfId="14971"/>
    <cellStyle name="normálne 3 4 2 2 7" xfId="21100"/>
    <cellStyle name="normálne 3 4 3" xfId="2281"/>
    <cellStyle name="normálne 3 4 3 2" xfId="4587"/>
    <cellStyle name="normálne 3 4 3 2 2" xfId="7645"/>
    <cellStyle name="normálne 3 4 3 2 2 2" xfId="13887"/>
    <cellStyle name="normálne 3 4 3 2 2 3" xfId="20042"/>
    <cellStyle name="normálne 3 4 3 2 2 4" xfId="26169"/>
    <cellStyle name="normálne 3 4 3 2 3" xfId="10801"/>
    <cellStyle name="normálne 3 4 3 2 4" xfId="16959"/>
    <cellStyle name="normálne 3 4 3 2 5" xfId="23087"/>
    <cellStyle name="normálne 3 4 3 3" xfId="4586"/>
    <cellStyle name="normálne 3 4 3 3 2" xfId="7644"/>
    <cellStyle name="normálne 3 4 3 3 2 2" xfId="13886"/>
    <cellStyle name="normálne 3 4 3 3 2 3" xfId="20041"/>
    <cellStyle name="normálne 3 4 3 3 2 4" xfId="26168"/>
    <cellStyle name="normálne 3 4 3 3 3" xfId="10800"/>
    <cellStyle name="normálne 3 4 3 3 4" xfId="16958"/>
    <cellStyle name="normálne 3 4 3 3 5" xfId="23086"/>
    <cellStyle name="normálne 3 4 3 4" xfId="5594"/>
    <cellStyle name="normálne 3 4 3 4 2" xfId="11836"/>
    <cellStyle name="normálne 3 4 3 4 3" xfId="17991"/>
    <cellStyle name="normálne 3 4 3 4 4" xfId="24118"/>
    <cellStyle name="normálne 3 4 3 5" xfId="8748"/>
    <cellStyle name="normálne 3 4 3 6" xfId="14972"/>
    <cellStyle name="normálne 3 4 3 7" xfId="20928"/>
    <cellStyle name="normálne 3 4 4" xfId="2068"/>
    <cellStyle name="normálne 3 4 4 2" xfId="4589"/>
    <cellStyle name="normálne 3 4 4 2 2" xfId="7647"/>
    <cellStyle name="normálne 3 4 4 2 2 2" xfId="13889"/>
    <cellStyle name="normálne 3 4 4 2 2 3" xfId="20044"/>
    <cellStyle name="normálne 3 4 4 2 2 4" xfId="26171"/>
    <cellStyle name="normálne 3 4 4 2 3" xfId="10803"/>
    <cellStyle name="normálne 3 4 4 2 4" xfId="16961"/>
    <cellStyle name="normálne 3 4 4 2 5" xfId="23089"/>
    <cellStyle name="normálne 3 4 4 3" xfId="4588"/>
    <cellStyle name="normálne 3 4 4 3 2" xfId="7646"/>
    <cellStyle name="normálne 3 4 4 3 2 2" xfId="13888"/>
    <cellStyle name="normálne 3 4 4 3 2 3" xfId="20043"/>
    <cellStyle name="normálne 3 4 4 3 2 4" xfId="26170"/>
    <cellStyle name="normálne 3 4 4 3 3" xfId="10802"/>
    <cellStyle name="normálne 3 4 4 3 4" xfId="16960"/>
    <cellStyle name="normálne 3 4 4 3 5" xfId="23088"/>
    <cellStyle name="normálne 3 4 4 4" xfId="5406"/>
    <cellStyle name="normálne 3 4 4 4 2" xfId="11648"/>
    <cellStyle name="normálne 3 4 4 4 3" xfId="17803"/>
    <cellStyle name="normálne 3 4 4 4 4" xfId="23930"/>
    <cellStyle name="normálne 3 4 4 5" xfId="8561"/>
    <cellStyle name="normálne 3 4 4 6" xfId="14973"/>
    <cellStyle name="normálne 3 4 4 7" xfId="20741"/>
    <cellStyle name="normálne 3 5" xfId="436"/>
    <cellStyle name="normálne 3 5 2" xfId="1813"/>
    <cellStyle name="normálne 3 6" xfId="437"/>
    <cellStyle name="normálne 3 6 2" xfId="1882"/>
    <cellStyle name="normálne 3 6 2 2" xfId="2352"/>
    <cellStyle name="normálne 3 6 2 2 2" xfId="4591"/>
    <cellStyle name="normálne 3 6 2 2 2 2" xfId="7649"/>
    <cellStyle name="normálne 3 6 2 2 2 2 2" xfId="13891"/>
    <cellStyle name="normálne 3 6 2 2 2 2 3" xfId="20046"/>
    <cellStyle name="normálne 3 6 2 2 2 2 4" xfId="26173"/>
    <cellStyle name="normálne 3 6 2 2 2 3" xfId="10805"/>
    <cellStyle name="normálne 3 6 2 2 2 4" xfId="16963"/>
    <cellStyle name="normálne 3 6 2 2 2 5" xfId="23091"/>
    <cellStyle name="normálne 3 6 2 2 3" xfId="4590"/>
    <cellStyle name="normálne 3 6 2 2 3 2" xfId="7648"/>
    <cellStyle name="normálne 3 6 2 2 3 2 2" xfId="13890"/>
    <cellStyle name="normálne 3 6 2 2 3 2 3" xfId="20045"/>
    <cellStyle name="normálne 3 6 2 2 3 2 4" xfId="26172"/>
    <cellStyle name="normálne 3 6 2 2 3 3" xfId="10804"/>
    <cellStyle name="normálne 3 6 2 2 3 4" xfId="16962"/>
    <cellStyle name="normálne 3 6 2 2 3 5" xfId="23090"/>
    <cellStyle name="normálne 3 6 2 2 4" xfId="5665"/>
    <cellStyle name="normálne 3 6 2 2 4 2" xfId="11907"/>
    <cellStyle name="normálne 3 6 2 2 4 3" xfId="18062"/>
    <cellStyle name="normálne 3 6 2 2 4 4" xfId="24189"/>
    <cellStyle name="normálne 3 6 2 2 5" xfId="8819"/>
    <cellStyle name="normálne 3 6 2 2 6" xfId="14974"/>
    <cellStyle name="normálne 3 6 2 2 7" xfId="20999"/>
    <cellStyle name="normálne 3 6 3" xfId="2101"/>
    <cellStyle name="normálne 3 6 3 2" xfId="4593"/>
    <cellStyle name="normálne 3 6 3 2 2" xfId="7651"/>
    <cellStyle name="normálne 3 6 3 2 2 2" xfId="13893"/>
    <cellStyle name="normálne 3 6 3 2 2 3" xfId="20048"/>
    <cellStyle name="normálne 3 6 3 2 2 4" xfId="26175"/>
    <cellStyle name="normálne 3 6 3 2 3" xfId="10807"/>
    <cellStyle name="normálne 3 6 3 2 4" xfId="16965"/>
    <cellStyle name="normálne 3 6 3 2 5" xfId="23093"/>
    <cellStyle name="normálne 3 6 3 3" xfId="4592"/>
    <cellStyle name="normálne 3 6 3 3 2" xfId="7650"/>
    <cellStyle name="normálne 3 6 3 3 2 2" xfId="13892"/>
    <cellStyle name="normálne 3 6 3 3 2 3" xfId="20047"/>
    <cellStyle name="normálne 3 6 3 3 2 4" xfId="26174"/>
    <cellStyle name="normálne 3 6 3 3 3" xfId="10806"/>
    <cellStyle name="normálne 3 6 3 3 4" xfId="16964"/>
    <cellStyle name="normálne 3 6 3 3 5" xfId="23092"/>
    <cellStyle name="normálne 3 6 3 4" xfId="5418"/>
    <cellStyle name="normálne 3 6 3 4 2" xfId="11660"/>
    <cellStyle name="normálne 3 6 3 4 3" xfId="17815"/>
    <cellStyle name="normálne 3 6 3 4 4" xfId="23942"/>
    <cellStyle name="normálne 3 6 3 5" xfId="8572"/>
    <cellStyle name="normálne 3 6 3 6" xfId="14975"/>
    <cellStyle name="normálne 3 6 3 7" xfId="20752"/>
    <cellStyle name="normálne 3 7" xfId="438"/>
    <cellStyle name="normálne 3 7 2" xfId="1674"/>
    <cellStyle name="normálne 3 7 3" xfId="2117"/>
    <cellStyle name="normálne 3 7 3 2" xfId="4595"/>
    <cellStyle name="normálne 3 7 3 2 2" xfId="7653"/>
    <cellStyle name="normálne 3 7 3 2 2 2" xfId="13895"/>
    <cellStyle name="normálne 3 7 3 2 2 3" xfId="20050"/>
    <cellStyle name="normálne 3 7 3 2 2 4" xfId="26177"/>
    <cellStyle name="normálne 3 7 3 2 3" xfId="10809"/>
    <cellStyle name="normálne 3 7 3 2 4" xfId="16967"/>
    <cellStyle name="normálne 3 7 3 2 5" xfId="23095"/>
    <cellStyle name="normálne 3 7 3 3" xfId="4594"/>
    <cellStyle name="normálne 3 7 3 3 2" xfId="7652"/>
    <cellStyle name="normálne 3 7 3 3 2 2" xfId="13894"/>
    <cellStyle name="normálne 3 7 3 3 2 3" xfId="20049"/>
    <cellStyle name="normálne 3 7 3 3 2 4" xfId="26176"/>
    <cellStyle name="normálne 3 7 3 3 3" xfId="10808"/>
    <cellStyle name="normálne 3 7 3 3 4" xfId="16966"/>
    <cellStyle name="normálne 3 7 3 3 5" xfId="23094"/>
    <cellStyle name="normálne 3 7 3 4" xfId="5430"/>
    <cellStyle name="normálne 3 7 3 4 2" xfId="11672"/>
    <cellStyle name="normálne 3 7 3 4 3" xfId="17827"/>
    <cellStyle name="normálne 3 7 3 4 4" xfId="23954"/>
    <cellStyle name="normálne 3 7 3 5" xfId="8584"/>
    <cellStyle name="normálne 3 7 3 6" xfId="14976"/>
    <cellStyle name="normálne 3 7 3 7" xfId="20764"/>
    <cellStyle name="normálne 3 8" xfId="439"/>
    <cellStyle name="normálne 3 8 2" xfId="1644"/>
    <cellStyle name="normálne 3 8 3" xfId="4596"/>
    <cellStyle name="normálne 3 9" xfId="440"/>
    <cellStyle name="normálne 3 9 2" xfId="1848"/>
    <cellStyle name="normálne 3 9 3" xfId="4597"/>
    <cellStyle name="normálne 3 9 3 2" xfId="7655"/>
    <cellStyle name="normálne 3 9 3 2 2" xfId="13897"/>
    <cellStyle name="normálne 3 9 3 2 3" xfId="20052"/>
    <cellStyle name="normálne 3 9 3 2 4" xfId="26179"/>
    <cellStyle name="normálne 3 9 3 3" xfId="10810"/>
    <cellStyle name="normálne 3 9 3 4" xfId="16968"/>
    <cellStyle name="normálne 3 9 3 5" xfId="23096"/>
    <cellStyle name="normálne 4" xfId="441"/>
    <cellStyle name="normálne 4 2" xfId="1212"/>
    <cellStyle name="normálne 4 2 2" xfId="1878"/>
    <cellStyle name="normálne 4 3" xfId="849"/>
    <cellStyle name="normálne 4 3 2" xfId="1704"/>
    <cellStyle name="normálne 4 3 2 2" xfId="4600"/>
    <cellStyle name="normálne 4 3 2 2 2" xfId="7658"/>
    <cellStyle name="normálne 4 3 2 2 2 2" xfId="13900"/>
    <cellStyle name="normálne 4 3 2 2 2 3" xfId="20055"/>
    <cellStyle name="normálne 4 3 2 2 2 4" xfId="26182"/>
    <cellStyle name="normálne 4 3 2 2 3" xfId="10813"/>
    <cellStyle name="normálne 4 3 2 2 4" xfId="16971"/>
    <cellStyle name="normálne 4 3 2 2 5" xfId="23099"/>
    <cellStyle name="normálne 4 3 2 3" xfId="4599"/>
    <cellStyle name="normálne 4 3 2 3 2" xfId="7657"/>
    <cellStyle name="normálne 4 3 2 3 2 2" xfId="13899"/>
    <cellStyle name="normálne 4 3 2 3 2 3" xfId="20054"/>
    <cellStyle name="normálne 4 3 2 3 2 4" xfId="26181"/>
    <cellStyle name="normálne 4 3 2 3 3" xfId="10812"/>
    <cellStyle name="normálne 4 3 2 3 4" xfId="16970"/>
    <cellStyle name="normálne 4 3 2 3 5" xfId="23098"/>
    <cellStyle name="normálne 4 3 2 4" xfId="5274"/>
    <cellStyle name="normálne 4 3 2 4 2" xfId="11516"/>
    <cellStyle name="normálne 4 3 2 4 3" xfId="17671"/>
    <cellStyle name="normálne 4 3 2 4 4" xfId="23798"/>
    <cellStyle name="normálne 4 3 2 5" xfId="8430"/>
    <cellStyle name="normálne 4 3 2 6" xfId="14978"/>
    <cellStyle name="normálne 4 3 2 7" xfId="20611"/>
    <cellStyle name="normálne 4 3 3" xfId="4601"/>
    <cellStyle name="normálne 4 3 3 2" xfId="7659"/>
    <cellStyle name="normálne 4 3 3 2 2" xfId="13901"/>
    <cellStyle name="normálne 4 3 3 2 3" xfId="20056"/>
    <cellStyle name="normálne 4 3 3 2 4" xfId="26183"/>
    <cellStyle name="normálne 4 3 3 3" xfId="10814"/>
    <cellStyle name="normálne 4 3 3 4" xfId="16972"/>
    <cellStyle name="normálne 4 3 3 5" xfId="23100"/>
    <cellStyle name="normálne 4 3 4" xfId="4598"/>
    <cellStyle name="normálne 4 3 4 2" xfId="7656"/>
    <cellStyle name="normálne 4 3 4 2 2" xfId="13898"/>
    <cellStyle name="normálne 4 3 4 2 3" xfId="20053"/>
    <cellStyle name="normálne 4 3 4 2 4" xfId="26180"/>
    <cellStyle name="normálne 4 3 4 3" xfId="10811"/>
    <cellStyle name="normálne 4 3 4 4" xfId="16969"/>
    <cellStyle name="normálne 4 3 4 5" xfId="23097"/>
    <cellStyle name="normálne 4 3 5" xfId="5175"/>
    <cellStyle name="normálne 4 3 5 2" xfId="11418"/>
    <cellStyle name="normálne 4 3 5 3" xfId="17573"/>
    <cellStyle name="normálne 4 3 5 4" xfId="23700"/>
    <cellStyle name="normálne 4 3 6" xfId="8332"/>
    <cellStyle name="normálne 4 3 7" xfId="14977"/>
    <cellStyle name="normálne 4 3 8" xfId="20515"/>
    <cellStyle name="normálne 4 4" xfId="1347"/>
    <cellStyle name="normálne 4 4 2" xfId="4603"/>
    <cellStyle name="normálne 4 4 2 2" xfId="7661"/>
    <cellStyle name="normálne 4 4 2 2 2" xfId="13903"/>
    <cellStyle name="normálne 4 4 2 2 3" xfId="20058"/>
    <cellStyle name="normálne 4 4 2 2 4" xfId="26185"/>
    <cellStyle name="normálne 4 4 2 3" xfId="10816"/>
    <cellStyle name="normálne 4 4 2 4" xfId="16974"/>
    <cellStyle name="normálne 4 4 2 5" xfId="23102"/>
    <cellStyle name="normálne 4 4 3" xfId="4602"/>
    <cellStyle name="normálne 4 4 3 2" xfId="7660"/>
    <cellStyle name="normálne 4 4 3 2 2" xfId="13902"/>
    <cellStyle name="normálne 4 4 3 2 3" xfId="20057"/>
    <cellStyle name="normálne 4 4 3 2 4" xfId="26184"/>
    <cellStyle name="normálne 4 4 3 3" xfId="10815"/>
    <cellStyle name="normálne 4 4 3 4" xfId="16973"/>
    <cellStyle name="normálne 4 4 3 5" xfId="23101"/>
    <cellStyle name="normálne 4 4 4" xfId="5228"/>
    <cellStyle name="normálne 4 4 4 2" xfId="11470"/>
    <cellStyle name="normálne 4 4 4 3" xfId="17625"/>
    <cellStyle name="normálne 4 4 4 4" xfId="23752"/>
    <cellStyle name="normálne 4 4 5" xfId="8384"/>
    <cellStyle name="normálne 4 4 6" xfId="14979"/>
    <cellStyle name="normálne 4 4 7" xfId="20566"/>
    <cellStyle name="normálne 4 5" xfId="1605"/>
    <cellStyle name="normálne 5" xfId="850"/>
    <cellStyle name="normálne 5 2" xfId="1453"/>
    <cellStyle name="normálne 5 3" xfId="1816"/>
    <cellStyle name="normálne 5 3 2" xfId="4605"/>
    <cellStyle name="normálne 5 3 2 2" xfId="7663"/>
    <cellStyle name="normálne 5 3 2 2 2" xfId="13905"/>
    <cellStyle name="normálne 5 3 2 2 3" xfId="20060"/>
    <cellStyle name="normálne 5 3 2 2 4" xfId="26187"/>
    <cellStyle name="normálne 5 3 2 3" xfId="10818"/>
    <cellStyle name="normálne 5 3 2 4" xfId="16976"/>
    <cellStyle name="normálne 5 3 2 5" xfId="23104"/>
    <cellStyle name="normálne 5 3 3" xfId="4604"/>
    <cellStyle name="normálne 5 3 3 2" xfId="7662"/>
    <cellStyle name="normálne 5 3 3 2 2" xfId="13904"/>
    <cellStyle name="normálne 5 3 3 2 3" xfId="20059"/>
    <cellStyle name="normálne 5 3 3 2 4" xfId="26186"/>
    <cellStyle name="normálne 5 3 3 3" xfId="10817"/>
    <cellStyle name="normálne 5 3 3 4" xfId="16975"/>
    <cellStyle name="normálne 5 3 3 5" xfId="23103"/>
    <cellStyle name="normálne 5 3 4" xfId="5292"/>
    <cellStyle name="normálne 5 3 4 2" xfId="11534"/>
    <cellStyle name="normálne 5 3 4 3" xfId="17689"/>
    <cellStyle name="normálne 5 3 4 4" xfId="23816"/>
    <cellStyle name="normálne 5 3 5" xfId="8448"/>
    <cellStyle name="normálne 5 3 6" xfId="14980"/>
    <cellStyle name="normálne 5 3 7" xfId="20629"/>
    <cellStyle name="normálne 6" xfId="1529"/>
    <cellStyle name="normálne 7" xfId="1864"/>
    <cellStyle name="normálne 7 2" xfId="4607"/>
    <cellStyle name="normálne 7 2 2" xfId="7665"/>
    <cellStyle name="normálne 7 2 2 2" xfId="13907"/>
    <cellStyle name="normálne 7 2 2 3" xfId="20062"/>
    <cellStyle name="normálne 7 2 2 4" xfId="26189"/>
    <cellStyle name="normálne 7 2 3" xfId="10820"/>
    <cellStyle name="normálne 7 2 4" xfId="16978"/>
    <cellStyle name="normálne 7 2 5" xfId="23106"/>
    <cellStyle name="normálne 7 3" xfId="4606"/>
    <cellStyle name="normálne 7 3 2" xfId="7664"/>
    <cellStyle name="normálne 7 3 2 2" xfId="13906"/>
    <cellStyle name="normálne 7 3 2 3" xfId="20061"/>
    <cellStyle name="normálne 7 3 2 4" xfId="26188"/>
    <cellStyle name="normálne 7 3 3" xfId="10819"/>
    <cellStyle name="normálne 7 3 4" xfId="16977"/>
    <cellStyle name="normálne 7 3 5" xfId="23105"/>
    <cellStyle name="normálne 7 4" xfId="5297"/>
    <cellStyle name="normálne 7 4 2" xfId="11539"/>
    <cellStyle name="normálne 7 4 3" xfId="17694"/>
    <cellStyle name="normálne 7 4 4" xfId="23821"/>
    <cellStyle name="normálne 7 5" xfId="8453"/>
    <cellStyle name="normálne 7 6" xfId="14981"/>
    <cellStyle name="normálne 7 7" xfId="20634"/>
    <cellStyle name="normálne_02_HK_31-12-2005_v19-02-2006" xfId="1105"/>
    <cellStyle name="normálne_prva strana" xfId="21"/>
    <cellStyle name="normálne_súvaha - pasíva" xfId="22"/>
    <cellStyle name="normální 10" xfId="617"/>
    <cellStyle name="normální 10 2" xfId="1106"/>
    <cellStyle name="normální 11" xfId="1107"/>
    <cellStyle name="normální 12" xfId="1108"/>
    <cellStyle name="normální 13" xfId="1109"/>
    <cellStyle name="normální 2" xfId="442"/>
    <cellStyle name="normální 2 2" xfId="619"/>
    <cellStyle name="normální 2 2 2" xfId="1435"/>
    <cellStyle name="normální 2 2 2 2" xfId="4609"/>
    <cellStyle name="normální 2 2 2 2 2" xfId="7667"/>
    <cellStyle name="normální 2 2 2 2 2 2" xfId="13909"/>
    <cellStyle name="normální 2 2 2 2 2 3" xfId="20064"/>
    <cellStyle name="normální 2 2 2 2 2 4" xfId="26191"/>
    <cellStyle name="normální 2 2 2 2 3" xfId="10822"/>
    <cellStyle name="normální 2 2 2 2 4" xfId="16980"/>
    <cellStyle name="normální 2 2 2 2 5" xfId="23108"/>
    <cellStyle name="normální 2 2 2 3" xfId="4608"/>
    <cellStyle name="normální 2 2 2 3 2" xfId="7666"/>
    <cellStyle name="normální 2 2 2 3 2 2" xfId="13908"/>
    <cellStyle name="normální 2 2 2 3 2 3" xfId="20063"/>
    <cellStyle name="normální 2 2 2 3 2 4" xfId="26190"/>
    <cellStyle name="normální 2 2 2 3 3" xfId="10821"/>
    <cellStyle name="normální 2 2 2 3 4" xfId="16979"/>
    <cellStyle name="normální 2 2 2 3 5" xfId="23107"/>
    <cellStyle name="normální 2 2 2 4" xfId="5234"/>
    <cellStyle name="normální 2 2 2 4 2" xfId="11476"/>
    <cellStyle name="normální 2 2 2 4 3" xfId="17631"/>
    <cellStyle name="normální 2 2 2 4 4" xfId="23758"/>
    <cellStyle name="normální 2 2 2 5" xfId="8390"/>
    <cellStyle name="normální 2 2 2 6" xfId="14982"/>
    <cellStyle name="normální 2 2 2 7" xfId="20572"/>
    <cellStyle name="normální 2 3" xfId="862"/>
    <cellStyle name="normální 2 3 2" xfId="1807"/>
    <cellStyle name="normální 2 3 2 2" xfId="4611"/>
    <cellStyle name="normální 2 3 2 2 2" xfId="7669"/>
    <cellStyle name="normální 2 3 2 2 2 2" xfId="13911"/>
    <cellStyle name="normální 2 3 2 2 2 3" xfId="20066"/>
    <cellStyle name="normální 2 3 2 2 2 4" xfId="26193"/>
    <cellStyle name="normální 2 3 2 2 3" xfId="10824"/>
    <cellStyle name="normální 2 3 2 2 4" xfId="16982"/>
    <cellStyle name="normální 2 3 2 2 5" xfId="23110"/>
    <cellStyle name="normální 2 3 2 3" xfId="4610"/>
    <cellStyle name="normální 2 3 2 3 2" xfId="7668"/>
    <cellStyle name="normální 2 3 2 3 2 2" xfId="13910"/>
    <cellStyle name="normální 2 3 2 3 2 3" xfId="20065"/>
    <cellStyle name="normální 2 3 2 3 2 4" xfId="26192"/>
    <cellStyle name="normální 2 3 2 3 3" xfId="10823"/>
    <cellStyle name="normální 2 3 2 3 4" xfId="16981"/>
    <cellStyle name="normální 2 3 2 3 5" xfId="23109"/>
    <cellStyle name="normální 2 3 2 4" xfId="5290"/>
    <cellStyle name="normální 2 3 2 4 2" xfId="11532"/>
    <cellStyle name="normální 2 3 2 4 3" xfId="17687"/>
    <cellStyle name="normální 2 3 2 4 4" xfId="23814"/>
    <cellStyle name="normální 2 3 2 5" xfId="8446"/>
    <cellStyle name="normální 2 3 2 6" xfId="14983"/>
    <cellStyle name="normální 2 3 2 7" xfId="20627"/>
    <cellStyle name="normální 2 4" xfId="1110"/>
    <cellStyle name="normální 2 4 2" xfId="1506"/>
    <cellStyle name="normální 2 5" xfId="618"/>
    <cellStyle name="normální 2 5 2" xfId="1916"/>
    <cellStyle name="normální 2 6" xfId="1801"/>
    <cellStyle name="normální 2 6 2" xfId="4613"/>
    <cellStyle name="normální 2 6 2 2" xfId="7671"/>
    <cellStyle name="normální 2 6 2 2 2" xfId="13913"/>
    <cellStyle name="normální 2 6 2 2 3" xfId="20068"/>
    <cellStyle name="normální 2 6 2 2 4" xfId="26195"/>
    <cellStyle name="normální 2 6 2 3" xfId="10826"/>
    <cellStyle name="normální 2 6 2 4" xfId="16984"/>
    <cellStyle name="normální 2 6 2 5" xfId="23112"/>
    <cellStyle name="normální 2 6 3" xfId="4612"/>
    <cellStyle name="normální 2 6 3 2" xfId="7670"/>
    <cellStyle name="normální 2 6 3 2 2" xfId="13912"/>
    <cellStyle name="normální 2 6 3 2 3" xfId="20067"/>
    <cellStyle name="normální 2 6 3 2 4" xfId="26194"/>
    <cellStyle name="normální 2 6 3 3" xfId="10825"/>
    <cellStyle name="normální 2 6 3 4" xfId="16983"/>
    <cellStyle name="normální 2 6 3 5" xfId="23111"/>
    <cellStyle name="normální 2 6 4" xfId="5289"/>
    <cellStyle name="normální 2 6 4 2" xfId="11531"/>
    <cellStyle name="normální 2 6 4 3" xfId="17686"/>
    <cellStyle name="normální 2 6 4 4" xfId="23813"/>
    <cellStyle name="normální 2 6 5" xfId="8445"/>
    <cellStyle name="normální 2 6 6" xfId="14984"/>
    <cellStyle name="normální 2 6 7" xfId="20626"/>
    <cellStyle name="normální 2 7" xfId="8017"/>
    <cellStyle name="normální 2 7 2" xfId="11059"/>
    <cellStyle name="normální 2 7 3" xfId="17214"/>
    <cellStyle name="normální 2 7 4" xfId="23341"/>
    <cellStyle name="normální 3" xfId="620"/>
    <cellStyle name="normální 3 2" xfId="1111"/>
    <cellStyle name="normální 4" xfId="621"/>
    <cellStyle name="normální 4 2" xfId="1112"/>
    <cellStyle name="normální 5" xfId="622"/>
    <cellStyle name="normální 5 2" xfId="1113"/>
    <cellStyle name="normální 6" xfId="623"/>
    <cellStyle name="normální 6 2" xfId="1114"/>
    <cellStyle name="normální 7" xfId="624"/>
    <cellStyle name="normální 7 2" xfId="1115"/>
    <cellStyle name="normální 8" xfId="625"/>
    <cellStyle name="normální 8 2" xfId="1116"/>
    <cellStyle name="normální 9" xfId="626"/>
    <cellStyle name="normální 9 2" xfId="1117"/>
    <cellStyle name="normální_14-806" xfId="1424"/>
    <cellStyle name="Normalny_2_synthese_camargcp5" xfId="627"/>
    <cellStyle name="Note 10" xfId="8018"/>
    <cellStyle name="Note 11" xfId="15064"/>
    <cellStyle name="Note 12" xfId="20327"/>
    <cellStyle name="Note 2" xfId="158"/>
    <cellStyle name="Note 2 10" xfId="4615"/>
    <cellStyle name="Note 2 10 2" xfId="7673"/>
    <cellStyle name="Note 2 10 2 2" xfId="13915"/>
    <cellStyle name="Note 2 10 2 3" xfId="20070"/>
    <cellStyle name="Note 2 10 2 4" xfId="26197"/>
    <cellStyle name="Note 2 10 3" xfId="10828"/>
    <cellStyle name="Note 2 10 4" xfId="16986"/>
    <cellStyle name="Note 2 10 5" xfId="23114"/>
    <cellStyle name="Note 2 11" xfId="4614"/>
    <cellStyle name="Note 2 11 2" xfId="7672"/>
    <cellStyle name="Note 2 11 2 2" xfId="13914"/>
    <cellStyle name="Note 2 11 2 3" xfId="20069"/>
    <cellStyle name="Note 2 11 2 4" xfId="26196"/>
    <cellStyle name="Note 2 11 3" xfId="10827"/>
    <cellStyle name="Note 2 11 4" xfId="16985"/>
    <cellStyle name="Note 2 11 5" xfId="23113"/>
    <cellStyle name="Note 2 12" xfId="4955"/>
    <cellStyle name="Note 2 12 2" xfId="11199"/>
    <cellStyle name="Note 2 12 3" xfId="17354"/>
    <cellStyle name="Note 2 12 4" xfId="23481"/>
    <cellStyle name="Note 2 13" xfId="8113"/>
    <cellStyle name="Note 2 14" xfId="14985"/>
    <cellStyle name="Note 2 15" xfId="20393"/>
    <cellStyle name="Note 2 2" xfId="159"/>
    <cellStyle name="Note 2 2 10" xfId="4956"/>
    <cellStyle name="Note 2 2 10 2" xfId="11200"/>
    <cellStyle name="Note 2 2 10 3" xfId="17355"/>
    <cellStyle name="Note 2 2 10 4" xfId="23482"/>
    <cellStyle name="Note 2 2 11" xfId="8114"/>
    <cellStyle name="Note 2 2 12" xfId="14986"/>
    <cellStyle name="Note 2 2 13" xfId="20394"/>
    <cellStyle name="Note 2 2 2" xfId="2045"/>
    <cellStyle name="Note 2 2 2 10" xfId="20720"/>
    <cellStyle name="Note 2 2 2 2" xfId="2431"/>
    <cellStyle name="Note 2 2 2 2 2" xfId="4619"/>
    <cellStyle name="Note 2 2 2 2 2 2" xfId="7677"/>
    <cellStyle name="Note 2 2 2 2 2 2 2" xfId="13919"/>
    <cellStyle name="Note 2 2 2 2 2 2 3" xfId="20074"/>
    <cellStyle name="Note 2 2 2 2 2 2 4" xfId="26201"/>
    <cellStyle name="Note 2 2 2 2 2 3" xfId="10832"/>
    <cellStyle name="Note 2 2 2 2 2 4" xfId="16990"/>
    <cellStyle name="Note 2 2 2 2 2 5" xfId="23118"/>
    <cellStyle name="Note 2 2 2 2 3" xfId="4618"/>
    <cellStyle name="Note 2 2 2 2 3 2" xfId="7676"/>
    <cellStyle name="Note 2 2 2 2 3 2 2" xfId="13918"/>
    <cellStyle name="Note 2 2 2 2 3 2 3" xfId="20073"/>
    <cellStyle name="Note 2 2 2 2 3 2 4" xfId="26200"/>
    <cellStyle name="Note 2 2 2 2 3 3" xfId="10831"/>
    <cellStyle name="Note 2 2 2 2 3 4" xfId="16989"/>
    <cellStyle name="Note 2 2 2 2 3 5" xfId="23117"/>
    <cellStyle name="Note 2 2 2 2 4" xfId="5744"/>
    <cellStyle name="Note 2 2 2 2 4 2" xfId="11986"/>
    <cellStyle name="Note 2 2 2 2 4 3" xfId="18141"/>
    <cellStyle name="Note 2 2 2 2 4 4" xfId="24268"/>
    <cellStyle name="Note 2 2 2 2 5" xfId="8898"/>
    <cellStyle name="Note 2 2 2 2 6" xfId="14988"/>
    <cellStyle name="Note 2 2 2 2 7" xfId="21078"/>
    <cellStyle name="Note 2 2 2 3" xfId="2256"/>
    <cellStyle name="Note 2 2 2 3 2" xfId="4621"/>
    <cellStyle name="Note 2 2 2 3 2 2" xfId="7679"/>
    <cellStyle name="Note 2 2 2 3 2 2 2" xfId="13921"/>
    <cellStyle name="Note 2 2 2 3 2 2 3" xfId="20076"/>
    <cellStyle name="Note 2 2 2 3 2 2 4" xfId="26203"/>
    <cellStyle name="Note 2 2 2 3 2 3" xfId="10834"/>
    <cellStyle name="Note 2 2 2 3 2 4" xfId="16992"/>
    <cellStyle name="Note 2 2 2 3 2 5" xfId="23120"/>
    <cellStyle name="Note 2 2 2 3 3" xfId="4620"/>
    <cellStyle name="Note 2 2 2 3 3 2" xfId="7678"/>
    <cellStyle name="Note 2 2 2 3 3 2 2" xfId="13920"/>
    <cellStyle name="Note 2 2 2 3 3 2 3" xfId="20075"/>
    <cellStyle name="Note 2 2 2 3 3 2 4" xfId="26202"/>
    <cellStyle name="Note 2 2 2 3 3 3" xfId="10833"/>
    <cellStyle name="Note 2 2 2 3 3 4" xfId="16991"/>
    <cellStyle name="Note 2 2 2 3 3 5" xfId="23119"/>
    <cellStyle name="Note 2 2 2 3 4" xfId="5569"/>
    <cellStyle name="Note 2 2 2 3 4 2" xfId="11811"/>
    <cellStyle name="Note 2 2 2 3 4 3" xfId="17966"/>
    <cellStyle name="Note 2 2 2 3 4 4" xfId="24093"/>
    <cellStyle name="Note 2 2 2 3 5" xfId="8723"/>
    <cellStyle name="Note 2 2 2 3 6" xfId="14989"/>
    <cellStyle name="Note 2 2 2 3 7" xfId="20903"/>
    <cellStyle name="Note 2 2 2 4" xfId="4622"/>
    <cellStyle name="Note 2 2 2 4 2" xfId="7680"/>
    <cellStyle name="Note 2 2 2 4 2 2" xfId="13922"/>
    <cellStyle name="Note 2 2 2 4 2 3" xfId="20077"/>
    <cellStyle name="Note 2 2 2 4 2 4" xfId="26204"/>
    <cellStyle name="Note 2 2 2 4 3" xfId="10835"/>
    <cellStyle name="Note 2 2 2 4 4" xfId="16993"/>
    <cellStyle name="Note 2 2 2 4 5" xfId="23121"/>
    <cellStyle name="Note 2 2 2 5" xfId="4623"/>
    <cellStyle name="Note 2 2 2 5 2" xfId="7681"/>
    <cellStyle name="Note 2 2 2 5 2 2" xfId="13923"/>
    <cellStyle name="Note 2 2 2 5 2 3" xfId="20078"/>
    <cellStyle name="Note 2 2 2 5 2 4" xfId="26205"/>
    <cellStyle name="Note 2 2 2 5 3" xfId="10836"/>
    <cellStyle name="Note 2 2 2 5 4" xfId="16994"/>
    <cellStyle name="Note 2 2 2 5 5" xfId="23122"/>
    <cellStyle name="Note 2 2 2 6" xfId="4617"/>
    <cellStyle name="Note 2 2 2 6 2" xfId="7675"/>
    <cellStyle name="Note 2 2 2 6 2 2" xfId="13917"/>
    <cellStyle name="Note 2 2 2 6 2 3" xfId="20072"/>
    <cellStyle name="Note 2 2 2 6 2 4" xfId="26199"/>
    <cellStyle name="Note 2 2 2 6 3" xfId="10830"/>
    <cellStyle name="Note 2 2 2 6 4" xfId="16988"/>
    <cellStyle name="Note 2 2 2 6 5" xfId="23116"/>
    <cellStyle name="Note 2 2 2 7" xfId="5385"/>
    <cellStyle name="Note 2 2 2 7 2" xfId="11627"/>
    <cellStyle name="Note 2 2 2 7 3" xfId="17782"/>
    <cellStyle name="Note 2 2 2 7 4" xfId="23909"/>
    <cellStyle name="Note 2 2 2 8" xfId="8540"/>
    <cellStyle name="Note 2 2 2 9" xfId="14987"/>
    <cellStyle name="Note 2 2 3" xfId="2354"/>
    <cellStyle name="Note 2 2 3 2" xfId="4625"/>
    <cellStyle name="Note 2 2 3 2 2" xfId="7683"/>
    <cellStyle name="Note 2 2 3 2 2 2" xfId="13925"/>
    <cellStyle name="Note 2 2 3 2 2 3" xfId="20080"/>
    <cellStyle name="Note 2 2 3 2 2 4" xfId="26207"/>
    <cellStyle name="Note 2 2 3 2 3" xfId="10838"/>
    <cellStyle name="Note 2 2 3 2 4" xfId="16996"/>
    <cellStyle name="Note 2 2 3 2 5" xfId="23124"/>
    <cellStyle name="Note 2 2 3 3" xfId="4624"/>
    <cellStyle name="Note 2 2 3 3 2" xfId="7682"/>
    <cellStyle name="Note 2 2 3 3 2 2" xfId="13924"/>
    <cellStyle name="Note 2 2 3 3 2 3" xfId="20079"/>
    <cellStyle name="Note 2 2 3 3 2 4" xfId="26206"/>
    <cellStyle name="Note 2 2 3 3 3" xfId="10837"/>
    <cellStyle name="Note 2 2 3 3 4" xfId="16995"/>
    <cellStyle name="Note 2 2 3 3 5" xfId="23123"/>
    <cellStyle name="Note 2 2 3 4" xfId="5667"/>
    <cellStyle name="Note 2 2 3 4 2" xfId="11909"/>
    <cellStyle name="Note 2 2 3 4 3" xfId="18064"/>
    <cellStyle name="Note 2 2 3 4 4" xfId="24191"/>
    <cellStyle name="Note 2 2 3 5" xfId="8821"/>
    <cellStyle name="Note 2 2 3 6" xfId="14990"/>
    <cellStyle name="Note 2 2 3 7" xfId="21001"/>
    <cellStyle name="Note 2 2 4" xfId="2181"/>
    <cellStyle name="Note 2 2 4 2" xfId="4627"/>
    <cellStyle name="Note 2 2 4 2 2" xfId="7685"/>
    <cellStyle name="Note 2 2 4 2 2 2" xfId="13927"/>
    <cellStyle name="Note 2 2 4 2 2 3" xfId="20082"/>
    <cellStyle name="Note 2 2 4 2 2 4" xfId="26209"/>
    <cellStyle name="Note 2 2 4 2 3" xfId="10840"/>
    <cellStyle name="Note 2 2 4 2 4" xfId="16998"/>
    <cellStyle name="Note 2 2 4 2 5" xfId="23126"/>
    <cellStyle name="Note 2 2 4 3" xfId="4626"/>
    <cellStyle name="Note 2 2 4 3 2" xfId="7684"/>
    <cellStyle name="Note 2 2 4 3 2 2" xfId="13926"/>
    <cellStyle name="Note 2 2 4 3 2 3" xfId="20081"/>
    <cellStyle name="Note 2 2 4 3 2 4" xfId="26208"/>
    <cellStyle name="Note 2 2 4 3 3" xfId="10839"/>
    <cellStyle name="Note 2 2 4 3 4" xfId="16997"/>
    <cellStyle name="Note 2 2 4 3 5" xfId="23125"/>
    <cellStyle name="Note 2 2 4 4" xfId="5494"/>
    <cellStyle name="Note 2 2 4 4 2" xfId="11736"/>
    <cellStyle name="Note 2 2 4 4 3" xfId="17891"/>
    <cellStyle name="Note 2 2 4 4 4" xfId="24018"/>
    <cellStyle name="Note 2 2 4 5" xfId="8648"/>
    <cellStyle name="Note 2 2 4 6" xfId="14991"/>
    <cellStyle name="Note 2 2 4 7" xfId="20828"/>
    <cellStyle name="Note 2 2 5" xfId="822"/>
    <cellStyle name="Note 2 2 5 2" xfId="4629"/>
    <cellStyle name="Note 2 2 5 2 2" xfId="7687"/>
    <cellStyle name="Note 2 2 5 2 2 2" xfId="13929"/>
    <cellStyle name="Note 2 2 5 2 2 3" xfId="20084"/>
    <cellStyle name="Note 2 2 5 2 2 4" xfId="26211"/>
    <cellStyle name="Note 2 2 5 2 3" xfId="10842"/>
    <cellStyle name="Note 2 2 5 2 4" xfId="17000"/>
    <cellStyle name="Note 2 2 5 2 5" xfId="23128"/>
    <cellStyle name="Note 2 2 5 3" xfId="4628"/>
    <cellStyle name="Note 2 2 5 3 2" xfId="7686"/>
    <cellStyle name="Note 2 2 5 3 2 2" xfId="13928"/>
    <cellStyle name="Note 2 2 5 3 2 3" xfId="20083"/>
    <cellStyle name="Note 2 2 5 3 2 4" xfId="26210"/>
    <cellStyle name="Note 2 2 5 3 3" xfId="10841"/>
    <cellStyle name="Note 2 2 5 3 4" xfId="16999"/>
    <cellStyle name="Note 2 2 5 3 5" xfId="23127"/>
    <cellStyle name="Note 2 2 5 4" xfId="5168"/>
    <cellStyle name="Note 2 2 5 4 2" xfId="11411"/>
    <cellStyle name="Note 2 2 5 4 3" xfId="17566"/>
    <cellStyle name="Note 2 2 5 4 4" xfId="23693"/>
    <cellStyle name="Note 2 2 5 5" xfId="8325"/>
    <cellStyle name="Note 2 2 5 6" xfId="14992"/>
    <cellStyle name="Note 2 2 5 7" xfId="20508"/>
    <cellStyle name="Note 2 2 6" xfId="269"/>
    <cellStyle name="Note 2 2 6 2" xfId="4631"/>
    <cellStyle name="Note 2 2 6 2 2" xfId="7689"/>
    <cellStyle name="Note 2 2 6 2 2 2" xfId="13931"/>
    <cellStyle name="Note 2 2 6 2 2 3" xfId="20086"/>
    <cellStyle name="Note 2 2 6 2 2 4" xfId="26213"/>
    <cellStyle name="Note 2 2 6 2 3" xfId="10844"/>
    <cellStyle name="Note 2 2 6 2 4" xfId="17002"/>
    <cellStyle name="Note 2 2 6 2 5" xfId="23130"/>
    <cellStyle name="Note 2 2 6 3" xfId="4630"/>
    <cellStyle name="Note 2 2 6 3 2" xfId="7688"/>
    <cellStyle name="Note 2 2 6 3 2 2" xfId="13930"/>
    <cellStyle name="Note 2 2 6 3 2 3" xfId="20085"/>
    <cellStyle name="Note 2 2 6 3 2 4" xfId="26212"/>
    <cellStyle name="Note 2 2 6 3 3" xfId="10843"/>
    <cellStyle name="Note 2 2 6 3 4" xfId="17001"/>
    <cellStyle name="Note 2 2 6 3 5" xfId="23129"/>
    <cellStyle name="Note 2 2 6 4" xfId="5048"/>
    <cellStyle name="Note 2 2 6 4 2" xfId="11291"/>
    <cellStyle name="Note 2 2 6 4 3" xfId="17446"/>
    <cellStyle name="Note 2 2 6 4 4" xfId="23573"/>
    <cellStyle name="Note 2 2 6 5" xfId="8206"/>
    <cellStyle name="Note 2 2 6 6" xfId="14993"/>
    <cellStyle name="Note 2 2 6 7" xfId="21201"/>
    <cellStyle name="Note 2 2 7" xfId="4632"/>
    <cellStyle name="Note 2 2 7 2" xfId="7690"/>
    <cellStyle name="Note 2 2 7 2 2" xfId="13932"/>
    <cellStyle name="Note 2 2 7 2 3" xfId="20087"/>
    <cellStyle name="Note 2 2 7 2 4" xfId="26214"/>
    <cellStyle name="Note 2 2 7 3" xfId="10845"/>
    <cellStyle name="Note 2 2 7 4" xfId="17003"/>
    <cellStyle name="Note 2 2 7 5" xfId="23131"/>
    <cellStyle name="Note 2 2 8" xfId="4633"/>
    <cellStyle name="Note 2 2 8 2" xfId="7691"/>
    <cellStyle name="Note 2 2 8 2 2" xfId="13933"/>
    <cellStyle name="Note 2 2 8 2 3" xfId="20088"/>
    <cellStyle name="Note 2 2 8 2 4" xfId="26215"/>
    <cellStyle name="Note 2 2 8 3" xfId="10846"/>
    <cellStyle name="Note 2 2 8 4" xfId="17004"/>
    <cellStyle name="Note 2 2 8 5" xfId="23132"/>
    <cellStyle name="Note 2 2 9" xfId="4616"/>
    <cellStyle name="Note 2 2 9 2" xfId="7674"/>
    <cellStyle name="Note 2 2 9 2 2" xfId="13916"/>
    <cellStyle name="Note 2 2 9 2 3" xfId="20071"/>
    <cellStyle name="Note 2 2 9 2 4" xfId="26198"/>
    <cellStyle name="Note 2 2 9 3" xfId="10829"/>
    <cellStyle name="Note 2 2 9 4" xfId="16987"/>
    <cellStyle name="Note 2 2 9 5" xfId="23115"/>
    <cellStyle name="Note 2 3" xfId="863"/>
    <cellStyle name="Note 2 3 2" xfId="2430"/>
    <cellStyle name="Note 2 3 2 2" xfId="4635"/>
    <cellStyle name="Note 2 3 2 2 2" xfId="7693"/>
    <cellStyle name="Note 2 3 2 2 2 2" xfId="13935"/>
    <cellStyle name="Note 2 3 2 2 2 3" xfId="20090"/>
    <cellStyle name="Note 2 3 2 2 2 4" xfId="26217"/>
    <cellStyle name="Note 2 3 2 2 3" xfId="10848"/>
    <cellStyle name="Note 2 3 2 2 4" xfId="17006"/>
    <cellStyle name="Note 2 3 2 2 5" xfId="23134"/>
    <cellStyle name="Note 2 3 2 3" xfId="4634"/>
    <cellStyle name="Note 2 3 2 3 2" xfId="7692"/>
    <cellStyle name="Note 2 3 2 3 2 2" xfId="13934"/>
    <cellStyle name="Note 2 3 2 3 2 3" xfId="20089"/>
    <cellStyle name="Note 2 3 2 3 2 4" xfId="26216"/>
    <cellStyle name="Note 2 3 2 3 3" xfId="10847"/>
    <cellStyle name="Note 2 3 2 3 4" xfId="17005"/>
    <cellStyle name="Note 2 3 2 3 5" xfId="23133"/>
    <cellStyle name="Note 2 3 2 4" xfId="5743"/>
    <cellStyle name="Note 2 3 2 4 2" xfId="11985"/>
    <cellStyle name="Note 2 3 2 4 3" xfId="18140"/>
    <cellStyle name="Note 2 3 2 4 4" xfId="24267"/>
    <cellStyle name="Note 2 3 2 5" xfId="8897"/>
    <cellStyle name="Note 2 3 2 6" xfId="14994"/>
    <cellStyle name="Note 2 3 2 7" xfId="21077"/>
    <cellStyle name="Note 2 3 3" xfId="2255"/>
    <cellStyle name="Note 2 3 3 2" xfId="4637"/>
    <cellStyle name="Note 2 3 3 2 2" xfId="7695"/>
    <cellStyle name="Note 2 3 3 2 2 2" xfId="13937"/>
    <cellStyle name="Note 2 3 3 2 2 3" xfId="20092"/>
    <cellStyle name="Note 2 3 3 2 2 4" xfId="26219"/>
    <cellStyle name="Note 2 3 3 2 3" xfId="10850"/>
    <cellStyle name="Note 2 3 3 2 4" xfId="17008"/>
    <cellStyle name="Note 2 3 3 2 5" xfId="23136"/>
    <cellStyle name="Note 2 3 3 3" xfId="4636"/>
    <cellStyle name="Note 2 3 3 3 2" xfId="7694"/>
    <cellStyle name="Note 2 3 3 3 2 2" xfId="13936"/>
    <cellStyle name="Note 2 3 3 3 2 3" xfId="20091"/>
    <cellStyle name="Note 2 3 3 3 2 4" xfId="26218"/>
    <cellStyle name="Note 2 3 3 3 3" xfId="10849"/>
    <cellStyle name="Note 2 3 3 3 4" xfId="17007"/>
    <cellStyle name="Note 2 3 3 3 5" xfId="23135"/>
    <cellStyle name="Note 2 3 3 4" xfId="5568"/>
    <cellStyle name="Note 2 3 3 4 2" xfId="11810"/>
    <cellStyle name="Note 2 3 3 4 3" xfId="17965"/>
    <cellStyle name="Note 2 3 3 4 4" xfId="24092"/>
    <cellStyle name="Note 2 3 3 5" xfId="8722"/>
    <cellStyle name="Note 2 3 3 6" xfId="14995"/>
    <cellStyle name="Note 2 3 3 7" xfId="20902"/>
    <cellStyle name="Note 2 3 4" xfId="2044"/>
    <cellStyle name="Note 2 3 4 2" xfId="4639"/>
    <cellStyle name="Note 2 3 4 2 2" xfId="7697"/>
    <cellStyle name="Note 2 3 4 2 2 2" xfId="13939"/>
    <cellStyle name="Note 2 3 4 2 2 3" xfId="20094"/>
    <cellStyle name="Note 2 3 4 2 2 4" xfId="26221"/>
    <cellStyle name="Note 2 3 4 2 3" xfId="10852"/>
    <cellStyle name="Note 2 3 4 2 4" xfId="17010"/>
    <cellStyle name="Note 2 3 4 2 5" xfId="23138"/>
    <cellStyle name="Note 2 3 4 3" xfId="4638"/>
    <cellStyle name="Note 2 3 4 3 2" xfId="7696"/>
    <cellStyle name="Note 2 3 4 3 2 2" xfId="13938"/>
    <cellStyle name="Note 2 3 4 3 2 3" xfId="20093"/>
    <cellStyle name="Note 2 3 4 3 2 4" xfId="26220"/>
    <cellStyle name="Note 2 3 4 3 3" xfId="10851"/>
    <cellStyle name="Note 2 3 4 3 4" xfId="17009"/>
    <cellStyle name="Note 2 3 4 3 5" xfId="23137"/>
    <cellStyle name="Note 2 3 4 4" xfId="5384"/>
    <cellStyle name="Note 2 3 4 4 2" xfId="11626"/>
    <cellStyle name="Note 2 3 4 4 3" xfId="17781"/>
    <cellStyle name="Note 2 3 4 4 4" xfId="23908"/>
    <cellStyle name="Note 2 3 4 5" xfId="8539"/>
    <cellStyle name="Note 2 3 4 6" xfId="14996"/>
    <cellStyle name="Note 2 3 4 7" xfId="20719"/>
    <cellStyle name="Note 2 3 5" xfId="4640"/>
    <cellStyle name="Note 2 3 6" xfId="4641"/>
    <cellStyle name="Note 2 3 6 2" xfId="7698"/>
    <cellStyle name="Note 2 3 6 2 2" xfId="13940"/>
    <cellStyle name="Note 2 3 6 2 3" xfId="20095"/>
    <cellStyle name="Note 2 3 6 2 4" xfId="26222"/>
    <cellStyle name="Note 2 3 6 3" xfId="10853"/>
    <cellStyle name="Note 2 3 6 4" xfId="17011"/>
    <cellStyle name="Note 2 3 6 5" xfId="23139"/>
    <cellStyle name="Note 2 4" xfId="1118"/>
    <cellStyle name="Note 2 4 2" xfId="2353"/>
    <cellStyle name="Note 2 4 2 2" xfId="4643"/>
    <cellStyle name="Note 2 4 2 2 2" xfId="7700"/>
    <cellStyle name="Note 2 4 2 2 2 2" xfId="13942"/>
    <cellStyle name="Note 2 4 2 2 2 3" xfId="20097"/>
    <cellStyle name="Note 2 4 2 2 2 4" xfId="26224"/>
    <cellStyle name="Note 2 4 2 2 3" xfId="10855"/>
    <cellStyle name="Note 2 4 2 2 4" xfId="17013"/>
    <cellStyle name="Note 2 4 2 2 5" xfId="23141"/>
    <cellStyle name="Note 2 4 2 3" xfId="4642"/>
    <cellStyle name="Note 2 4 2 3 2" xfId="7699"/>
    <cellStyle name="Note 2 4 2 3 2 2" xfId="13941"/>
    <cellStyle name="Note 2 4 2 3 2 3" xfId="20096"/>
    <cellStyle name="Note 2 4 2 3 2 4" xfId="26223"/>
    <cellStyle name="Note 2 4 2 3 3" xfId="10854"/>
    <cellStyle name="Note 2 4 2 3 4" xfId="17012"/>
    <cellStyle name="Note 2 4 2 3 5" xfId="23140"/>
    <cellStyle name="Note 2 4 2 4" xfId="5666"/>
    <cellStyle name="Note 2 4 2 4 2" xfId="11908"/>
    <cellStyle name="Note 2 4 2 4 3" xfId="18063"/>
    <cellStyle name="Note 2 4 2 4 4" xfId="24190"/>
    <cellStyle name="Note 2 4 2 5" xfId="8820"/>
    <cellStyle name="Note 2 4 2 6" xfId="14997"/>
    <cellStyle name="Note 2 4 2 7" xfId="21000"/>
    <cellStyle name="Note 2 5" xfId="821"/>
    <cellStyle name="Note 2 5 2" xfId="4645"/>
    <cellStyle name="Note 2 5 2 2" xfId="7702"/>
    <cellStyle name="Note 2 5 2 2 2" xfId="13944"/>
    <cellStyle name="Note 2 5 2 2 3" xfId="20099"/>
    <cellStyle name="Note 2 5 2 2 4" xfId="26226"/>
    <cellStyle name="Note 2 5 2 3" xfId="10857"/>
    <cellStyle name="Note 2 5 2 4" xfId="17015"/>
    <cellStyle name="Note 2 5 2 5" xfId="23143"/>
    <cellStyle name="Note 2 5 3" xfId="4644"/>
    <cellStyle name="Note 2 5 3 2" xfId="7701"/>
    <cellStyle name="Note 2 5 3 2 2" xfId="13943"/>
    <cellStyle name="Note 2 5 3 2 3" xfId="20098"/>
    <cellStyle name="Note 2 5 3 2 4" xfId="26225"/>
    <cellStyle name="Note 2 5 3 3" xfId="10856"/>
    <cellStyle name="Note 2 5 3 4" xfId="17014"/>
    <cellStyle name="Note 2 5 3 5" xfId="23142"/>
    <cellStyle name="Note 2 5 4" xfId="5167"/>
    <cellStyle name="Note 2 5 4 2" xfId="11410"/>
    <cellStyle name="Note 2 5 4 3" xfId="17565"/>
    <cellStyle name="Note 2 5 4 4" xfId="23692"/>
    <cellStyle name="Note 2 5 5" xfId="8324"/>
    <cellStyle name="Note 2 5 6" xfId="14998"/>
    <cellStyle name="Note 2 5 7" xfId="20507"/>
    <cellStyle name="Note 2 6" xfId="1550"/>
    <cellStyle name="Note 2 7" xfId="443"/>
    <cellStyle name="Note 2 8" xfId="268"/>
    <cellStyle name="Note 2 8 2" xfId="4647"/>
    <cellStyle name="Note 2 8 2 2" xfId="7704"/>
    <cellStyle name="Note 2 8 2 2 2" xfId="13946"/>
    <cellStyle name="Note 2 8 2 2 3" xfId="20101"/>
    <cellStyle name="Note 2 8 2 2 4" xfId="26228"/>
    <cellStyle name="Note 2 8 2 3" xfId="10859"/>
    <cellStyle name="Note 2 8 2 4" xfId="17017"/>
    <cellStyle name="Note 2 8 2 5" xfId="23145"/>
    <cellStyle name="Note 2 8 3" xfId="4646"/>
    <cellStyle name="Note 2 8 3 2" xfId="7703"/>
    <cellStyle name="Note 2 8 3 2 2" xfId="13945"/>
    <cellStyle name="Note 2 8 3 2 3" xfId="20100"/>
    <cellStyle name="Note 2 8 3 2 4" xfId="26227"/>
    <cellStyle name="Note 2 8 3 3" xfId="10858"/>
    <cellStyle name="Note 2 8 3 4" xfId="17016"/>
    <cellStyle name="Note 2 8 3 5" xfId="23144"/>
    <cellStyle name="Note 2 8 4" xfId="5047"/>
    <cellStyle name="Note 2 8 4 2" xfId="11290"/>
    <cellStyle name="Note 2 8 4 3" xfId="17445"/>
    <cellStyle name="Note 2 8 4 4" xfId="23572"/>
    <cellStyle name="Note 2 8 5" xfId="8205"/>
    <cellStyle name="Note 2 8 6" xfId="14999"/>
    <cellStyle name="Note 2 8 7" xfId="21200"/>
    <cellStyle name="Note 2 9" xfId="4648"/>
    <cellStyle name="Note 2 9 2" xfId="7705"/>
    <cellStyle name="Note 2 9 2 2" xfId="13947"/>
    <cellStyle name="Note 2 9 2 3" xfId="20102"/>
    <cellStyle name="Note 2 9 2 4" xfId="26229"/>
    <cellStyle name="Note 2 9 3" xfId="10860"/>
    <cellStyle name="Note 2 9 4" xfId="17018"/>
    <cellStyle name="Note 2 9 5" xfId="23146"/>
    <cellStyle name="Note 3" xfId="160"/>
    <cellStyle name="Note 3 10" xfId="4649"/>
    <cellStyle name="Note 3 10 2" xfId="7706"/>
    <cellStyle name="Note 3 10 2 2" xfId="13948"/>
    <cellStyle name="Note 3 10 2 3" xfId="20103"/>
    <cellStyle name="Note 3 10 2 4" xfId="26230"/>
    <cellStyle name="Note 3 10 3" xfId="10861"/>
    <cellStyle name="Note 3 10 4" xfId="17019"/>
    <cellStyle name="Note 3 10 5" xfId="23147"/>
    <cellStyle name="Note 3 11" xfId="4957"/>
    <cellStyle name="Note 3 11 2" xfId="11201"/>
    <cellStyle name="Note 3 11 3" xfId="17356"/>
    <cellStyle name="Note 3 11 4" xfId="23483"/>
    <cellStyle name="Note 3 12" xfId="8115"/>
    <cellStyle name="Note 3 13" xfId="15000"/>
    <cellStyle name="Note 3 14" xfId="20395"/>
    <cellStyle name="Note 3 2" xfId="161"/>
    <cellStyle name="Note 3 2 10" xfId="4958"/>
    <cellStyle name="Note 3 2 10 2" xfId="11202"/>
    <cellStyle name="Note 3 2 10 3" xfId="17357"/>
    <cellStyle name="Note 3 2 10 4" xfId="23484"/>
    <cellStyle name="Note 3 2 11" xfId="8116"/>
    <cellStyle name="Note 3 2 12" xfId="15001"/>
    <cellStyle name="Note 3 2 13" xfId="20396"/>
    <cellStyle name="Note 3 2 2" xfId="2047"/>
    <cellStyle name="Note 3 2 2 10" xfId="20722"/>
    <cellStyle name="Note 3 2 2 2" xfId="2433"/>
    <cellStyle name="Note 3 2 2 2 2" xfId="4653"/>
    <cellStyle name="Note 3 2 2 2 2 2" xfId="7710"/>
    <cellStyle name="Note 3 2 2 2 2 2 2" xfId="13952"/>
    <cellStyle name="Note 3 2 2 2 2 2 3" xfId="20107"/>
    <cellStyle name="Note 3 2 2 2 2 2 4" xfId="26234"/>
    <cellStyle name="Note 3 2 2 2 2 3" xfId="10865"/>
    <cellStyle name="Note 3 2 2 2 2 4" xfId="17023"/>
    <cellStyle name="Note 3 2 2 2 2 5" xfId="23151"/>
    <cellStyle name="Note 3 2 2 2 3" xfId="4652"/>
    <cellStyle name="Note 3 2 2 2 3 2" xfId="7709"/>
    <cellStyle name="Note 3 2 2 2 3 2 2" xfId="13951"/>
    <cellStyle name="Note 3 2 2 2 3 2 3" xfId="20106"/>
    <cellStyle name="Note 3 2 2 2 3 2 4" xfId="26233"/>
    <cellStyle name="Note 3 2 2 2 3 3" xfId="10864"/>
    <cellStyle name="Note 3 2 2 2 3 4" xfId="17022"/>
    <cellStyle name="Note 3 2 2 2 3 5" xfId="23150"/>
    <cellStyle name="Note 3 2 2 2 4" xfId="5746"/>
    <cellStyle name="Note 3 2 2 2 4 2" xfId="11988"/>
    <cellStyle name="Note 3 2 2 2 4 3" xfId="18143"/>
    <cellStyle name="Note 3 2 2 2 4 4" xfId="24270"/>
    <cellStyle name="Note 3 2 2 2 5" xfId="8900"/>
    <cellStyle name="Note 3 2 2 2 6" xfId="15003"/>
    <cellStyle name="Note 3 2 2 2 7" xfId="21080"/>
    <cellStyle name="Note 3 2 2 3" xfId="2258"/>
    <cellStyle name="Note 3 2 2 3 2" xfId="4655"/>
    <cellStyle name="Note 3 2 2 3 2 2" xfId="7712"/>
    <cellStyle name="Note 3 2 2 3 2 2 2" xfId="13954"/>
    <cellStyle name="Note 3 2 2 3 2 2 3" xfId="20109"/>
    <cellStyle name="Note 3 2 2 3 2 2 4" xfId="26236"/>
    <cellStyle name="Note 3 2 2 3 2 3" xfId="10867"/>
    <cellStyle name="Note 3 2 2 3 2 4" xfId="17025"/>
    <cellStyle name="Note 3 2 2 3 2 5" xfId="23153"/>
    <cellStyle name="Note 3 2 2 3 3" xfId="4654"/>
    <cellStyle name="Note 3 2 2 3 3 2" xfId="7711"/>
    <cellStyle name="Note 3 2 2 3 3 2 2" xfId="13953"/>
    <cellStyle name="Note 3 2 2 3 3 2 3" xfId="20108"/>
    <cellStyle name="Note 3 2 2 3 3 2 4" xfId="26235"/>
    <cellStyle name="Note 3 2 2 3 3 3" xfId="10866"/>
    <cellStyle name="Note 3 2 2 3 3 4" xfId="17024"/>
    <cellStyle name="Note 3 2 2 3 3 5" xfId="23152"/>
    <cellStyle name="Note 3 2 2 3 4" xfId="5571"/>
    <cellStyle name="Note 3 2 2 3 4 2" xfId="11813"/>
    <cellStyle name="Note 3 2 2 3 4 3" xfId="17968"/>
    <cellStyle name="Note 3 2 2 3 4 4" xfId="24095"/>
    <cellStyle name="Note 3 2 2 3 5" xfId="8725"/>
    <cellStyle name="Note 3 2 2 3 6" xfId="15004"/>
    <cellStyle name="Note 3 2 2 3 7" xfId="20905"/>
    <cellStyle name="Note 3 2 2 4" xfId="4656"/>
    <cellStyle name="Note 3 2 2 4 2" xfId="7713"/>
    <cellStyle name="Note 3 2 2 4 2 2" xfId="13955"/>
    <cellStyle name="Note 3 2 2 4 2 3" xfId="20110"/>
    <cellStyle name="Note 3 2 2 4 2 4" xfId="26237"/>
    <cellStyle name="Note 3 2 2 4 3" xfId="10868"/>
    <cellStyle name="Note 3 2 2 4 4" xfId="17026"/>
    <cellStyle name="Note 3 2 2 4 5" xfId="23154"/>
    <cellStyle name="Note 3 2 2 5" xfId="4657"/>
    <cellStyle name="Note 3 2 2 5 2" xfId="7714"/>
    <cellStyle name="Note 3 2 2 5 2 2" xfId="13956"/>
    <cellStyle name="Note 3 2 2 5 2 3" xfId="20111"/>
    <cellStyle name="Note 3 2 2 5 2 4" xfId="26238"/>
    <cellStyle name="Note 3 2 2 5 3" xfId="10869"/>
    <cellStyle name="Note 3 2 2 5 4" xfId="17027"/>
    <cellStyle name="Note 3 2 2 5 5" xfId="23155"/>
    <cellStyle name="Note 3 2 2 6" xfId="4651"/>
    <cellStyle name="Note 3 2 2 6 2" xfId="7708"/>
    <cellStyle name="Note 3 2 2 6 2 2" xfId="13950"/>
    <cellStyle name="Note 3 2 2 6 2 3" xfId="20105"/>
    <cellStyle name="Note 3 2 2 6 2 4" xfId="26232"/>
    <cellStyle name="Note 3 2 2 6 3" xfId="10863"/>
    <cellStyle name="Note 3 2 2 6 4" xfId="17021"/>
    <cellStyle name="Note 3 2 2 6 5" xfId="23149"/>
    <cellStyle name="Note 3 2 2 7" xfId="5387"/>
    <cellStyle name="Note 3 2 2 7 2" xfId="11629"/>
    <cellStyle name="Note 3 2 2 7 3" xfId="17784"/>
    <cellStyle name="Note 3 2 2 7 4" xfId="23911"/>
    <cellStyle name="Note 3 2 2 8" xfId="8542"/>
    <cellStyle name="Note 3 2 2 9" xfId="15002"/>
    <cellStyle name="Note 3 2 3" xfId="2356"/>
    <cellStyle name="Note 3 2 3 2" xfId="4659"/>
    <cellStyle name="Note 3 2 3 2 2" xfId="7716"/>
    <cellStyle name="Note 3 2 3 2 2 2" xfId="13958"/>
    <cellStyle name="Note 3 2 3 2 2 3" xfId="20113"/>
    <cellStyle name="Note 3 2 3 2 2 4" xfId="26240"/>
    <cellStyle name="Note 3 2 3 2 3" xfId="10871"/>
    <cellStyle name="Note 3 2 3 2 4" xfId="17029"/>
    <cellStyle name="Note 3 2 3 2 5" xfId="23157"/>
    <cellStyle name="Note 3 2 3 3" xfId="4658"/>
    <cellStyle name="Note 3 2 3 3 2" xfId="7715"/>
    <cellStyle name="Note 3 2 3 3 2 2" xfId="13957"/>
    <cellStyle name="Note 3 2 3 3 2 3" xfId="20112"/>
    <cellStyle name="Note 3 2 3 3 2 4" xfId="26239"/>
    <cellStyle name="Note 3 2 3 3 3" xfId="10870"/>
    <cellStyle name="Note 3 2 3 3 4" xfId="17028"/>
    <cellStyle name="Note 3 2 3 3 5" xfId="23156"/>
    <cellStyle name="Note 3 2 3 4" xfId="5669"/>
    <cellStyle name="Note 3 2 3 4 2" xfId="11911"/>
    <cellStyle name="Note 3 2 3 4 3" xfId="18066"/>
    <cellStyle name="Note 3 2 3 4 4" xfId="24193"/>
    <cellStyle name="Note 3 2 3 5" xfId="8823"/>
    <cellStyle name="Note 3 2 3 6" xfId="15005"/>
    <cellStyle name="Note 3 2 3 7" xfId="21003"/>
    <cellStyle name="Note 3 2 4" xfId="2183"/>
    <cellStyle name="Note 3 2 4 2" xfId="4661"/>
    <cellStyle name="Note 3 2 4 2 2" xfId="7718"/>
    <cellStyle name="Note 3 2 4 2 2 2" xfId="13960"/>
    <cellStyle name="Note 3 2 4 2 2 3" xfId="20115"/>
    <cellStyle name="Note 3 2 4 2 2 4" xfId="26242"/>
    <cellStyle name="Note 3 2 4 2 3" xfId="10873"/>
    <cellStyle name="Note 3 2 4 2 4" xfId="17031"/>
    <cellStyle name="Note 3 2 4 2 5" xfId="23159"/>
    <cellStyle name="Note 3 2 4 3" xfId="4660"/>
    <cellStyle name="Note 3 2 4 3 2" xfId="7717"/>
    <cellStyle name="Note 3 2 4 3 2 2" xfId="13959"/>
    <cellStyle name="Note 3 2 4 3 2 3" xfId="20114"/>
    <cellStyle name="Note 3 2 4 3 2 4" xfId="26241"/>
    <cellStyle name="Note 3 2 4 3 3" xfId="10872"/>
    <cellStyle name="Note 3 2 4 3 4" xfId="17030"/>
    <cellStyle name="Note 3 2 4 3 5" xfId="23158"/>
    <cellStyle name="Note 3 2 4 4" xfId="5496"/>
    <cellStyle name="Note 3 2 4 4 2" xfId="11738"/>
    <cellStyle name="Note 3 2 4 4 3" xfId="17893"/>
    <cellStyle name="Note 3 2 4 4 4" xfId="24020"/>
    <cellStyle name="Note 3 2 4 5" xfId="8650"/>
    <cellStyle name="Note 3 2 4 6" xfId="15006"/>
    <cellStyle name="Note 3 2 4 7" xfId="20830"/>
    <cellStyle name="Note 3 2 5" xfId="824"/>
    <cellStyle name="Note 3 2 5 2" xfId="4663"/>
    <cellStyle name="Note 3 2 5 2 2" xfId="7720"/>
    <cellStyle name="Note 3 2 5 2 2 2" xfId="13962"/>
    <cellStyle name="Note 3 2 5 2 2 3" xfId="20117"/>
    <cellStyle name="Note 3 2 5 2 2 4" xfId="26244"/>
    <cellStyle name="Note 3 2 5 2 3" xfId="10875"/>
    <cellStyle name="Note 3 2 5 2 4" xfId="17033"/>
    <cellStyle name="Note 3 2 5 2 5" xfId="23161"/>
    <cellStyle name="Note 3 2 5 3" xfId="4662"/>
    <cellStyle name="Note 3 2 5 3 2" xfId="7719"/>
    <cellStyle name="Note 3 2 5 3 2 2" xfId="13961"/>
    <cellStyle name="Note 3 2 5 3 2 3" xfId="20116"/>
    <cellStyle name="Note 3 2 5 3 2 4" xfId="26243"/>
    <cellStyle name="Note 3 2 5 3 3" xfId="10874"/>
    <cellStyle name="Note 3 2 5 3 4" xfId="17032"/>
    <cellStyle name="Note 3 2 5 3 5" xfId="23160"/>
    <cellStyle name="Note 3 2 5 4" xfId="5170"/>
    <cellStyle name="Note 3 2 5 4 2" xfId="11413"/>
    <cellStyle name="Note 3 2 5 4 3" xfId="17568"/>
    <cellStyle name="Note 3 2 5 4 4" xfId="23695"/>
    <cellStyle name="Note 3 2 5 5" xfId="8327"/>
    <cellStyle name="Note 3 2 5 6" xfId="15007"/>
    <cellStyle name="Note 3 2 5 7" xfId="20510"/>
    <cellStyle name="Note 3 2 6" xfId="271"/>
    <cellStyle name="Note 3 2 6 2" xfId="4665"/>
    <cellStyle name="Note 3 2 6 2 2" xfId="7722"/>
    <cellStyle name="Note 3 2 6 2 2 2" xfId="13964"/>
    <cellStyle name="Note 3 2 6 2 2 3" xfId="20119"/>
    <cellStyle name="Note 3 2 6 2 2 4" xfId="26246"/>
    <cellStyle name="Note 3 2 6 2 3" xfId="10877"/>
    <cellStyle name="Note 3 2 6 2 4" xfId="17035"/>
    <cellStyle name="Note 3 2 6 2 5" xfId="23163"/>
    <cellStyle name="Note 3 2 6 3" xfId="4664"/>
    <cellStyle name="Note 3 2 6 3 2" xfId="7721"/>
    <cellStyle name="Note 3 2 6 3 2 2" xfId="13963"/>
    <cellStyle name="Note 3 2 6 3 2 3" xfId="20118"/>
    <cellStyle name="Note 3 2 6 3 2 4" xfId="26245"/>
    <cellStyle name="Note 3 2 6 3 3" xfId="10876"/>
    <cellStyle name="Note 3 2 6 3 4" xfId="17034"/>
    <cellStyle name="Note 3 2 6 3 5" xfId="23162"/>
    <cellStyle name="Note 3 2 6 4" xfId="5050"/>
    <cellStyle name="Note 3 2 6 4 2" xfId="11293"/>
    <cellStyle name="Note 3 2 6 4 3" xfId="17448"/>
    <cellStyle name="Note 3 2 6 4 4" xfId="23575"/>
    <cellStyle name="Note 3 2 6 5" xfId="8208"/>
    <cellStyle name="Note 3 2 6 6" xfId="15008"/>
    <cellStyle name="Note 3 2 6 7" xfId="21203"/>
    <cellStyle name="Note 3 2 7" xfId="4666"/>
    <cellStyle name="Note 3 2 7 2" xfId="7723"/>
    <cellStyle name="Note 3 2 7 2 2" xfId="13965"/>
    <cellStyle name="Note 3 2 7 2 3" xfId="20120"/>
    <cellStyle name="Note 3 2 7 2 4" xfId="26247"/>
    <cellStyle name="Note 3 2 7 3" xfId="10878"/>
    <cellStyle name="Note 3 2 7 4" xfId="17036"/>
    <cellStyle name="Note 3 2 7 5" xfId="23164"/>
    <cellStyle name="Note 3 2 8" xfId="4667"/>
    <cellStyle name="Note 3 2 8 2" xfId="7724"/>
    <cellStyle name="Note 3 2 8 2 2" xfId="13966"/>
    <cellStyle name="Note 3 2 8 2 3" xfId="20121"/>
    <cellStyle name="Note 3 2 8 2 4" xfId="26248"/>
    <cellStyle name="Note 3 2 8 3" xfId="10879"/>
    <cellStyle name="Note 3 2 8 4" xfId="17037"/>
    <cellStyle name="Note 3 2 8 5" xfId="23165"/>
    <cellStyle name="Note 3 2 9" xfId="4650"/>
    <cellStyle name="Note 3 2 9 2" xfId="7707"/>
    <cellStyle name="Note 3 2 9 2 2" xfId="13949"/>
    <cellStyle name="Note 3 2 9 2 3" xfId="20104"/>
    <cellStyle name="Note 3 2 9 2 4" xfId="26231"/>
    <cellStyle name="Note 3 2 9 3" xfId="10862"/>
    <cellStyle name="Note 3 2 9 4" xfId="17020"/>
    <cellStyle name="Note 3 2 9 5" xfId="23148"/>
    <cellStyle name="Note 3 3" xfId="2046"/>
    <cellStyle name="Note 3 3 10" xfId="20721"/>
    <cellStyle name="Note 3 3 2" xfId="2432"/>
    <cellStyle name="Note 3 3 2 2" xfId="4670"/>
    <cellStyle name="Note 3 3 2 2 2" xfId="7727"/>
    <cellStyle name="Note 3 3 2 2 2 2" xfId="13969"/>
    <cellStyle name="Note 3 3 2 2 2 3" xfId="20124"/>
    <cellStyle name="Note 3 3 2 2 2 4" xfId="26251"/>
    <cellStyle name="Note 3 3 2 2 3" xfId="10882"/>
    <cellStyle name="Note 3 3 2 2 4" xfId="17040"/>
    <cellStyle name="Note 3 3 2 2 5" xfId="23168"/>
    <cellStyle name="Note 3 3 2 3" xfId="4669"/>
    <cellStyle name="Note 3 3 2 3 2" xfId="7726"/>
    <cellStyle name="Note 3 3 2 3 2 2" xfId="13968"/>
    <cellStyle name="Note 3 3 2 3 2 3" xfId="20123"/>
    <cellStyle name="Note 3 3 2 3 2 4" xfId="26250"/>
    <cellStyle name="Note 3 3 2 3 3" xfId="10881"/>
    <cellStyle name="Note 3 3 2 3 4" xfId="17039"/>
    <cellStyle name="Note 3 3 2 3 5" xfId="23167"/>
    <cellStyle name="Note 3 3 2 4" xfId="5745"/>
    <cellStyle name="Note 3 3 2 4 2" xfId="11987"/>
    <cellStyle name="Note 3 3 2 4 3" xfId="18142"/>
    <cellStyle name="Note 3 3 2 4 4" xfId="24269"/>
    <cellStyle name="Note 3 3 2 5" xfId="8899"/>
    <cellStyle name="Note 3 3 2 6" xfId="15010"/>
    <cellStyle name="Note 3 3 2 7" xfId="21079"/>
    <cellStyle name="Note 3 3 3" xfId="2257"/>
    <cellStyle name="Note 3 3 3 2" xfId="4672"/>
    <cellStyle name="Note 3 3 3 2 2" xfId="7729"/>
    <cellStyle name="Note 3 3 3 2 2 2" xfId="13971"/>
    <cellStyle name="Note 3 3 3 2 2 3" xfId="20126"/>
    <cellStyle name="Note 3 3 3 2 2 4" xfId="26253"/>
    <cellStyle name="Note 3 3 3 2 3" xfId="10884"/>
    <cellStyle name="Note 3 3 3 2 4" xfId="17042"/>
    <cellStyle name="Note 3 3 3 2 5" xfId="23170"/>
    <cellStyle name="Note 3 3 3 3" xfId="4671"/>
    <cellStyle name="Note 3 3 3 3 2" xfId="7728"/>
    <cellStyle name="Note 3 3 3 3 2 2" xfId="13970"/>
    <cellStyle name="Note 3 3 3 3 2 3" xfId="20125"/>
    <cellStyle name="Note 3 3 3 3 2 4" xfId="26252"/>
    <cellStyle name="Note 3 3 3 3 3" xfId="10883"/>
    <cellStyle name="Note 3 3 3 3 4" xfId="17041"/>
    <cellStyle name="Note 3 3 3 3 5" xfId="23169"/>
    <cellStyle name="Note 3 3 3 4" xfId="5570"/>
    <cellStyle name="Note 3 3 3 4 2" xfId="11812"/>
    <cellStyle name="Note 3 3 3 4 3" xfId="17967"/>
    <cellStyle name="Note 3 3 3 4 4" xfId="24094"/>
    <cellStyle name="Note 3 3 3 5" xfId="8724"/>
    <cellStyle name="Note 3 3 3 6" xfId="15011"/>
    <cellStyle name="Note 3 3 3 7" xfId="20904"/>
    <cellStyle name="Note 3 3 4" xfId="4673"/>
    <cellStyle name="Note 3 3 4 2" xfId="7730"/>
    <cellStyle name="Note 3 3 4 2 2" xfId="13972"/>
    <cellStyle name="Note 3 3 4 2 3" xfId="20127"/>
    <cellStyle name="Note 3 3 4 2 4" xfId="26254"/>
    <cellStyle name="Note 3 3 4 3" xfId="10885"/>
    <cellStyle name="Note 3 3 4 4" xfId="17043"/>
    <cellStyle name="Note 3 3 4 5" xfId="23171"/>
    <cellStyle name="Note 3 3 5" xfId="4674"/>
    <cellStyle name="Note 3 3 5 2" xfId="7731"/>
    <cellStyle name="Note 3 3 5 2 2" xfId="13973"/>
    <cellStyle name="Note 3 3 5 2 3" xfId="20128"/>
    <cellStyle name="Note 3 3 5 2 4" xfId="26255"/>
    <cellStyle name="Note 3 3 5 3" xfId="10886"/>
    <cellStyle name="Note 3 3 5 4" xfId="17044"/>
    <cellStyle name="Note 3 3 5 5" xfId="23172"/>
    <cellStyle name="Note 3 3 6" xfId="4668"/>
    <cellStyle name="Note 3 3 6 2" xfId="7725"/>
    <cellStyle name="Note 3 3 6 2 2" xfId="13967"/>
    <cellStyle name="Note 3 3 6 2 3" xfId="20122"/>
    <cellStyle name="Note 3 3 6 2 4" xfId="26249"/>
    <cellStyle name="Note 3 3 6 3" xfId="10880"/>
    <cellStyle name="Note 3 3 6 4" xfId="17038"/>
    <cellStyle name="Note 3 3 6 5" xfId="23166"/>
    <cellStyle name="Note 3 3 7" xfId="5386"/>
    <cellStyle name="Note 3 3 7 2" xfId="11628"/>
    <cellStyle name="Note 3 3 7 3" xfId="17783"/>
    <cellStyle name="Note 3 3 7 4" xfId="23910"/>
    <cellStyle name="Note 3 3 8" xfId="8541"/>
    <cellStyle name="Note 3 3 9" xfId="15009"/>
    <cellStyle name="Note 3 4" xfId="2355"/>
    <cellStyle name="Note 3 4 2" xfId="4676"/>
    <cellStyle name="Note 3 4 2 2" xfId="7733"/>
    <cellStyle name="Note 3 4 2 2 2" xfId="13975"/>
    <cellStyle name="Note 3 4 2 2 3" xfId="20130"/>
    <cellStyle name="Note 3 4 2 2 4" xfId="26257"/>
    <cellStyle name="Note 3 4 2 3" xfId="10888"/>
    <cellStyle name="Note 3 4 2 4" xfId="17046"/>
    <cellStyle name="Note 3 4 2 5" xfId="23174"/>
    <cellStyle name="Note 3 4 3" xfId="4675"/>
    <cellStyle name="Note 3 4 3 2" xfId="7732"/>
    <cellStyle name="Note 3 4 3 2 2" xfId="13974"/>
    <cellStyle name="Note 3 4 3 2 3" xfId="20129"/>
    <cellStyle name="Note 3 4 3 2 4" xfId="26256"/>
    <cellStyle name="Note 3 4 3 3" xfId="10887"/>
    <cellStyle name="Note 3 4 3 4" xfId="17045"/>
    <cellStyle name="Note 3 4 3 5" xfId="23173"/>
    <cellStyle name="Note 3 4 4" xfId="5668"/>
    <cellStyle name="Note 3 4 4 2" xfId="11910"/>
    <cellStyle name="Note 3 4 4 3" xfId="18065"/>
    <cellStyle name="Note 3 4 4 4" xfId="24192"/>
    <cellStyle name="Note 3 4 5" xfId="8822"/>
    <cellStyle name="Note 3 4 6" xfId="15012"/>
    <cellStyle name="Note 3 4 7" xfId="21002"/>
    <cellStyle name="Note 3 5" xfId="2182"/>
    <cellStyle name="Note 3 5 2" xfId="4678"/>
    <cellStyle name="Note 3 5 2 2" xfId="7735"/>
    <cellStyle name="Note 3 5 2 2 2" xfId="13977"/>
    <cellStyle name="Note 3 5 2 2 3" xfId="20132"/>
    <cellStyle name="Note 3 5 2 2 4" xfId="26259"/>
    <cellStyle name="Note 3 5 2 3" xfId="10890"/>
    <cellStyle name="Note 3 5 2 4" xfId="17048"/>
    <cellStyle name="Note 3 5 2 5" xfId="23176"/>
    <cellStyle name="Note 3 5 3" xfId="4677"/>
    <cellStyle name="Note 3 5 3 2" xfId="7734"/>
    <cellStyle name="Note 3 5 3 2 2" xfId="13976"/>
    <cellStyle name="Note 3 5 3 2 3" xfId="20131"/>
    <cellStyle name="Note 3 5 3 2 4" xfId="26258"/>
    <cellStyle name="Note 3 5 3 3" xfId="10889"/>
    <cellStyle name="Note 3 5 3 4" xfId="17047"/>
    <cellStyle name="Note 3 5 3 5" xfId="23175"/>
    <cellStyle name="Note 3 5 4" xfId="5495"/>
    <cellStyle name="Note 3 5 4 2" xfId="11737"/>
    <cellStyle name="Note 3 5 4 3" xfId="17892"/>
    <cellStyle name="Note 3 5 4 4" xfId="24019"/>
    <cellStyle name="Note 3 5 5" xfId="8649"/>
    <cellStyle name="Note 3 5 6" xfId="15013"/>
    <cellStyle name="Note 3 5 7" xfId="20829"/>
    <cellStyle name="Note 3 6" xfId="823"/>
    <cellStyle name="Note 3 6 2" xfId="4680"/>
    <cellStyle name="Note 3 6 2 2" xfId="7737"/>
    <cellStyle name="Note 3 6 2 2 2" xfId="13979"/>
    <cellStyle name="Note 3 6 2 2 3" xfId="20134"/>
    <cellStyle name="Note 3 6 2 2 4" xfId="26261"/>
    <cellStyle name="Note 3 6 2 3" xfId="10892"/>
    <cellStyle name="Note 3 6 2 4" xfId="17050"/>
    <cellStyle name="Note 3 6 2 5" xfId="23178"/>
    <cellStyle name="Note 3 6 3" xfId="4679"/>
    <cellStyle name="Note 3 6 3 2" xfId="7736"/>
    <cellStyle name="Note 3 6 3 2 2" xfId="13978"/>
    <cellStyle name="Note 3 6 3 2 3" xfId="20133"/>
    <cellStyle name="Note 3 6 3 2 4" xfId="26260"/>
    <cellStyle name="Note 3 6 3 3" xfId="10891"/>
    <cellStyle name="Note 3 6 3 4" xfId="17049"/>
    <cellStyle name="Note 3 6 3 5" xfId="23177"/>
    <cellStyle name="Note 3 6 4" xfId="5169"/>
    <cellStyle name="Note 3 6 4 2" xfId="11412"/>
    <cellStyle name="Note 3 6 4 3" xfId="17567"/>
    <cellStyle name="Note 3 6 4 4" xfId="23694"/>
    <cellStyle name="Note 3 6 5" xfId="8326"/>
    <cellStyle name="Note 3 6 6" xfId="15014"/>
    <cellStyle name="Note 3 6 7" xfId="20509"/>
    <cellStyle name="Note 3 7" xfId="270"/>
    <cellStyle name="Note 3 7 2" xfId="4682"/>
    <cellStyle name="Note 3 7 2 2" xfId="7739"/>
    <cellStyle name="Note 3 7 2 2 2" xfId="13981"/>
    <cellStyle name="Note 3 7 2 2 3" xfId="20136"/>
    <cellStyle name="Note 3 7 2 2 4" xfId="26263"/>
    <cellStyle name="Note 3 7 2 3" xfId="10894"/>
    <cellStyle name="Note 3 7 2 4" xfId="17052"/>
    <cellStyle name="Note 3 7 2 5" xfId="23180"/>
    <cellStyle name="Note 3 7 3" xfId="4681"/>
    <cellStyle name="Note 3 7 3 2" xfId="7738"/>
    <cellStyle name="Note 3 7 3 2 2" xfId="13980"/>
    <cellStyle name="Note 3 7 3 2 3" xfId="20135"/>
    <cellStyle name="Note 3 7 3 2 4" xfId="26262"/>
    <cellStyle name="Note 3 7 3 3" xfId="10893"/>
    <cellStyle name="Note 3 7 3 4" xfId="17051"/>
    <cellStyle name="Note 3 7 3 5" xfId="23179"/>
    <cellStyle name="Note 3 7 4" xfId="5049"/>
    <cellStyle name="Note 3 7 4 2" xfId="11292"/>
    <cellStyle name="Note 3 7 4 3" xfId="17447"/>
    <cellStyle name="Note 3 7 4 4" xfId="23574"/>
    <cellStyle name="Note 3 7 5" xfId="8207"/>
    <cellStyle name="Note 3 7 6" xfId="15015"/>
    <cellStyle name="Note 3 7 7" xfId="21202"/>
    <cellStyle name="Note 3 8" xfId="4683"/>
    <cellStyle name="Note 3 8 2" xfId="7740"/>
    <cellStyle name="Note 3 8 2 2" xfId="13982"/>
    <cellStyle name="Note 3 8 2 3" xfId="20137"/>
    <cellStyle name="Note 3 8 2 4" xfId="26264"/>
    <cellStyle name="Note 3 8 3" xfId="10895"/>
    <cellStyle name="Note 3 8 4" xfId="17053"/>
    <cellStyle name="Note 3 8 5" xfId="23181"/>
    <cellStyle name="Note 3 9" xfId="4684"/>
    <cellStyle name="Note 3 9 2" xfId="7741"/>
    <cellStyle name="Note 3 9 2 2" xfId="13983"/>
    <cellStyle name="Note 3 9 2 3" xfId="20138"/>
    <cellStyle name="Note 3 9 2 4" xfId="26265"/>
    <cellStyle name="Note 3 9 3" xfId="10896"/>
    <cellStyle name="Note 3 9 4" xfId="17054"/>
    <cellStyle name="Note 3 9 5" xfId="23182"/>
    <cellStyle name="Note 4" xfId="162"/>
    <cellStyle name="Note 4 10" xfId="4959"/>
    <cellStyle name="Note 4 10 2" xfId="11203"/>
    <cellStyle name="Note 4 10 3" xfId="17358"/>
    <cellStyle name="Note 4 10 4" xfId="23485"/>
    <cellStyle name="Note 4 11" xfId="8117"/>
    <cellStyle name="Note 4 12" xfId="15016"/>
    <cellStyle name="Note 4 13" xfId="20397"/>
    <cellStyle name="Note 4 2" xfId="2048"/>
    <cellStyle name="Note 4 2 10" xfId="20723"/>
    <cellStyle name="Note 4 2 2" xfId="2434"/>
    <cellStyle name="Note 4 2 2 2" xfId="4688"/>
    <cellStyle name="Note 4 2 2 2 2" xfId="7745"/>
    <cellStyle name="Note 4 2 2 2 2 2" xfId="13987"/>
    <cellStyle name="Note 4 2 2 2 2 3" xfId="20142"/>
    <cellStyle name="Note 4 2 2 2 2 4" xfId="26269"/>
    <cellStyle name="Note 4 2 2 2 3" xfId="10900"/>
    <cellStyle name="Note 4 2 2 2 4" xfId="17058"/>
    <cellStyle name="Note 4 2 2 2 5" xfId="23186"/>
    <cellStyle name="Note 4 2 2 3" xfId="4687"/>
    <cellStyle name="Note 4 2 2 3 2" xfId="7744"/>
    <cellStyle name="Note 4 2 2 3 2 2" xfId="13986"/>
    <cellStyle name="Note 4 2 2 3 2 3" xfId="20141"/>
    <cellStyle name="Note 4 2 2 3 2 4" xfId="26268"/>
    <cellStyle name="Note 4 2 2 3 3" xfId="10899"/>
    <cellStyle name="Note 4 2 2 3 4" xfId="17057"/>
    <cellStyle name="Note 4 2 2 3 5" xfId="23185"/>
    <cellStyle name="Note 4 2 2 4" xfId="5747"/>
    <cellStyle name="Note 4 2 2 4 2" xfId="11989"/>
    <cellStyle name="Note 4 2 2 4 3" xfId="18144"/>
    <cellStyle name="Note 4 2 2 4 4" xfId="24271"/>
    <cellStyle name="Note 4 2 2 5" xfId="8901"/>
    <cellStyle name="Note 4 2 2 6" xfId="15018"/>
    <cellStyle name="Note 4 2 2 7" xfId="21081"/>
    <cellStyle name="Note 4 2 3" xfId="2259"/>
    <cellStyle name="Note 4 2 3 2" xfId="4690"/>
    <cellStyle name="Note 4 2 3 2 2" xfId="7747"/>
    <cellStyle name="Note 4 2 3 2 2 2" xfId="13989"/>
    <cellStyle name="Note 4 2 3 2 2 3" xfId="20144"/>
    <cellStyle name="Note 4 2 3 2 2 4" xfId="26271"/>
    <cellStyle name="Note 4 2 3 2 3" xfId="10902"/>
    <cellStyle name="Note 4 2 3 2 4" xfId="17060"/>
    <cellStyle name="Note 4 2 3 2 5" xfId="23188"/>
    <cellStyle name="Note 4 2 3 3" xfId="4689"/>
    <cellStyle name="Note 4 2 3 3 2" xfId="7746"/>
    <cellStyle name="Note 4 2 3 3 2 2" xfId="13988"/>
    <cellStyle name="Note 4 2 3 3 2 3" xfId="20143"/>
    <cellStyle name="Note 4 2 3 3 2 4" xfId="26270"/>
    <cellStyle name="Note 4 2 3 3 3" xfId="10901"/>
    <cellStyle name="Note 4 2 3 3 4" xfId="17059"/>
    <cellStyle name="Note 4 2 3 3 5" xfId="23187"/>
    <cellStyle name="Note 4 2 3 4" xfId="5572"/>
    <cellStyle name="Note 4 2 3 4 2" xfId="11814"/>
    <cellStyle name="Note 4 2 3 4 3" xfId="17969"/>
    <cellStyle name="Note 4 2 3 4 4" xfId="24096"/>
    <cellStyle name="Note 4 2 3 5" xfId="8726"/>
    <cellStyle name="Note 4 2 3 6" xfId="15019"/>
    <cellStyle name="Note 4 2 3 7" xfId="20906"/>
    <cellStyle name="Note 4 2 4" xfId="4691"/>
    <cellStyle name="Note 4 2 4 2" xfId="7748"/>
    <cellStyle name="Note 4 2 4 2 2" xfId="13990"/>
    <cellStyle name="Note 4 2 4 2 3" xfId="20145"/>
    <cellStyle name="Note 4 2 4 2 4" xfId="26272"/>
    <cellStyle name="Note 4 2 4 3" xfId="10903"/>
    <cellStyle name="Note 4 2 4 4" xfId="17061"/>
    <cellStyle name="Note 4 2 4 5" xfId="23189"/>
    <cellStyle name="Note 4 2 5" xfId="4692"/>
    <cellStyle name="Note 4 2 5 2" xfId="7749"/>
    <cellStyle name="Note 4 2 5 2 2" xfId="13991"/>
    <cellStyle name="Note 4 2 5 2 3" xfId="20146"/>
    <cellStyle name="Note 4 2 5 2 4" xfId="26273"/>
    <cellStyle name="Note 4 2 5 3" xfId="10904"/>
    <cellStyle name="Note 4 2 5 4" xfId="17062"/>
    <cellStyle name="Note 4 2 5 5" xfId="23190"/>
    <cellStyle name="Note 4 2 6" xfId="4686"/>
    <cellStyle name="Note 4 2 6 2" xfId="7743"/>
    <cellStyle name="Note 4 2 6 2 2" xfId="13985"/>
    <cellStyle name="Note 4 2 6 2 3" xfId="20140"/>
    <cellStyle name="Note 4 2 6 2 4" xfId="26267"/>
    <cellStyle name="Note 4 2 6 3" xfId="10898"/>
    <cellStyle name="Note 4 2 6 4" xfId="17056"/>
    <cellStyle name="Note 4 2 6 5" xfId="23184"/>
    <cellStyle name="Note 4 2 7" xfId="5388"/>
    <cellStyle name="Note 4 2 7 2" xfId="11630"/>
    <cellStyle name="Note 4 2 7 3" xfId="17785"/>
    <cellStyle name="Note 4 2 7 4" xfId="23912"/>
    <cellStyle name="Note 4 2 8" xfId="8543"/>
    <cellStyle name="Note 4 2 9" xfId="15017"/>
    <cellStyle name="Note 4 3" xfId="2357"/>
    <cellStyle name="Note 4 3 2" xfId="4694"/>
    <cellStyle name="Note 4 3 2 2" xfId="7751"/>
    <cellStyle name="Note 4 3 2 2 2" xfId="13993"/>
    <cellStyle name="Note 4 3 2 2 3" xfId="20148"/>
    <cellStyle name="Note 4 3 2 2 4" xfId="26275"/>
    <cellStyle name="Note 4 3 2 3" xfId="10906"/>
    <cellStyle name="Note 4 3 2 4" xfId="17064"/>
    <cellStyle name="Note 4 3 2 5" xfId="23192"/>
    <cellStyle name="Note 4 3 3" xfId="4693"/>
    <cellStyle name="Note 4 3 3 2" xfId="7750"/>
    <cellStyle name="Note 4 3 3 2 2" xfId="13992"/>
    <cellStyle name="Note 4 3 3 2 3" xfId="20147"/>
    <cellStyle name="Note 4 3 3 2 4" xfId="26274"/>
    <cellStyle name="Note 4 3 3 3" xfId="10905"/>
    <cellStyle name="Note 4 3 3 4" xfId="17063"/>
    <cellStyle name="Note 4 3 3 5" xfId="23191"/>
    <cellStyle name="Note 4 3 4" xfId="5670"/>
    <cellStyle name="Note 4 3 4 2" xfId="11912"/>
    <cellStyle name="Note 4 3 4 3" xfId="18067"/>
    <cellStyle name="Note 4 3 4 4" xfId="24194"/>
    <cellStyle name="Note 4 3 5" xfId="8824"/>
    <cellStyle name="Note 4 3 6" xfId="15020"/>
    <cellStyle name="Note 4 3 7" xfId="21004"/>
    <cellStyle name="Note 4 4" xfId="2184"/>
    <cellStyle name="Note 4 4 2" xfId="4696"/>
    <cellStyle name="Note 4 4 2 2" xfId="7753"/>
    <cellStyle name="Note 4 4 2 2 2" xfId="13995"/>
    <cellStyle name="Note 4 4 2 2 3" xfId="20150"/>
    <cellStyle name="Note 4 4 2 2 4" xfId="26277"/>
    <cellStyle name="Note 4 4 2 3" xfId="10908"/>
    <cellStyle name="Note 4 4 2 4" xfId="17066"/>
    <cellStyle name="Note 4 4 2 5" xfId="23194"/>
    <cellStyle name="Note 4 4 3" xfId="4695"/>
    <cellStyle name="Note 4 4 3 2" xfId="7752"/>
    <cellStyle name="Note 4 4 3 2 2" xfId="13994"/>
    <cellStyle name="Note 4 4 3 2 3" xfId="20149"/>
    <cellStyle name="Note 4 4 3 2 4" xfId="26276"/>
    <cellStyle name="Note 4 4 3 3" xfId="10907"/>
    <cellStyle name="Note 4 4 3 4" xfId="17065"/>
    <cellStyle name="Note 4 4 3 5" xfId="23193"/>
    <cellStyle name="Note 4 4 4" xfId="5497"/>
    <cellStyle name="Note 4 4 4 2" xfId="11739"/>
    <cellStyle name="Note 4 4 4 3" xfId="17894"/>
    <cellStyle name="Note 4 4 4 4" xfId="24021"/>
    <cellStyle name="Note 4 4 5" xfId="8651"/>
    <cellStyle name="Note 4 4 6" xfId="15021"/>
    <cellStyle name="Note 4 4 7" xfId="20831"/>
    <cellStyle name="Note 4 5" xfId="825"/>
    <cellStyle name="Note 4 5 2" xfId="4698"/>
    <cellStyle name="Note 4 5 2 2" xfId="7755"/>
    <cellStyle name="Note 4 5 2 2 2" xfId="13997"/>
    <cellStyle name="Note 4 5 2 2 3" xfId="20152"/>
    <cellStyle name="Note 4 5 2 2 4" xfId="26279"/>
    <cellStyle name="Note 4 5 2 3" xfId="10910"/>
    <cellStyle name="Note 4 5 2 4" xfId="17068"/>
    <cellStyle name="Note 4 5 2 5" xfId="23196"/>
    <cellStyle name="Note 4 5 3" xfId="4697"/>
    <cellStyle name="Note 4 5 3 2" xfId="7754"/>
    <cellStyle name="Note 4 5 3 2 2" xfId="13996"/>
    <cellStyle name="Note 4 5 3 2 3" xfId="20151"/>
    <cellStyle name="Note 4 5 3 2 4" xfId="26278"/>
    <cellStyle name="Note 4 5 3 3" xfId="10909"/>
    <cellStyle name="Note 4 5 3 4" xfId="17067"/>
    <cellStyle name="Note 4 5 3 5" xfId="23195"/>
    <cellStyle name="Note 4 5 4" xfId="5171"/>
    <cellStyle name="Note 4 5 4 2" xfId="11414"/>
    <cellStyle name="Note 4 5 4 3" xfId="17569"/>
    <cellStyle name="Note 4 5 4 4" xfId="23696"/>
    <cellStyle name="Note 4 5 5" xfId="8328"/>
    <cellStyle name="Note 4 5 6" xfId="15022"/>
    <cellStyle name="Note 4 5 7" xfId="20511"/>
    <cellStyle name="Note 4 6" xfId="272"/>
    <cellStyle name="Note 4 6 2" xfId="4700"/>
    <cellStyle name="Note 4 6 2 2" xfId="7757"/>
    <cellStyle name="Note 4 6 2 2 2" xfId="13999"/>
    <cellStyle name="Note 4 6 2 2 3" xfId="20154"/>
    <cellStyle name="Note 4 6 2 2 4" xfId="26281"/>
    <cellStyle name="Note 4 6 2 3" xfId="10912"/>
    <cellStyle name="Note 4 6 2 4" xfId="17070"/>
    <cellStyle name="Note 4 6 2 5" xfId="23198"/>
    <cellStyle name="Note 4 6 3" xfId="4699"/>
    <cellStyle name="Note 4 6 3 2" xfId="7756"/>
    <cellStyle name="Note 4 6 3 2 2" xfId="13998"/>
    <cellStyle name="Note 4 6 3 2 3" xfId="20153"/>
    <cellStyle name="Note 4 6 3 2 4" xfId="26280"/>
    <cellStyle name="Note 4 6 3 3" xfId="10911"/>
    <cellStyle name="Note 4 6 3 4" xfId="17069"/>
    <cellStyle name="Note 4 6 3 5" xfId="23197"/>
    <cellStyle name="Note 4 6 4" xfId="5051"/>
    <cellStyle name="Note 4 6 4 2" xfId="11294"/>
    <cellStyle name="Note 4 6 4 3" xfId="17449"/>
    <cellStyle name="Note 4 6 4 4" xfId="23576"/>
    <cellStyle name="Note 4 6 5" xfId="8209"/>
    <cellStyle name="Note 4 6 6" xfId="15023"/>
    <cellStyle name="Note 4 6 7" xfId="21204"/>
    <cellStyle name="Note 4 7" xfId="4701"/>
    <cellStyle name="Note 4 7 2" xfId="7758"/>
    <cellStyle name="Note 4 7 2 2" xfId="14000"/>
    <cellStyle name="Note 4 7 2 3" xfId="20155"/>
    <cellStyle name="Note 4 7 2 4" xfId="26282"/>
    <cellStyle name="Note 4 7 3" xfId="10913"/>
    <cellStyle name="Note 4 7 4" xfId="17071"/>
    <cellStyle name="Note 4 7 5" xfId="23199"/>
    <cellStyle name="Note 4 8" xfId="4702"/>
    <cellStyle name="Note 4 8 2" xfId="7759"/>
    <cellStyle name="Note 4 8 2 2" xfId="14001"/>
    <cellStyle name="Note 4 8 2 3" xfId="20156"/>
    <cellStyle name="Note 4 8 2 4" xfId="26283"/>
    <cellStyle name="Note 4 8 3" xfId="10914"/>
    <cellStyle name="Note 4 8 4" xfId="17072"/>
    <cellStyle name="Note 4 8 5" xfId="23200"/>
    <cellStyle name="Note 4 9" xfId="4685"/>
    <cellStyle name="Note 4 9 2" xfId="7742"/>
    <cellStyle name="Note 4 9 2 2" xfId="13984"/>
    <cellStyle name="Note 4 9 2 3" xfId="20139"/>
    <cellStyle name="Note 4 9 2 4" xfId="26266"/>
    <cellStyle name="Note 4 9 3" xfId="10897"/>
    <cellStyle name="Note 4 9 4" xfId="17055"/>
    <cellStyle name="Note 4 9 5" xfId="23183"/>
    <cellStyle name="Note 5" xfId="466"/>
    <cellStyle name="Note 5 2" xfId="4704"/>
    <cellStyle name="Note 5 2 2" xfId="7761"/>
    <cellStyle name="Note 5 2 2 2" xfId="14003"/>
    <cellStyle name="Note 5 2 2 3" xfId="20158"/>
    <cellStyle name="Note 5 2 2 4" xfId="26285"/>
    <cellStyle name="Note 5 2 3" xfId="10916"/>
    <cellStyle name="Note 5 2 4" xfId="17074"/>
    <cellStyle name="Note 5 2 5" xfId="23202"/>
    <cellStyle name="Note 5 3" xfId="4703"/>
    <cellStyle name="Note 5 3 2" xfId="7760"/>
    <cellStyle name="Note 5 3 2 2" xfId="14002"/>
    <cellStyle name="Note 5 3 2 3" xfId="20157"/>
    <cellStyle name="Note 5 3 2 4" xfId="26284"/>
    <cellStyle name="Note 5 3 3" xfId="10915"/>
    <cellStyle name="Note 5 3 4" xfId="17073"/>
    <cellStyle name="Note 5 3 5" xfId="23201"/>
    <cellStyle name="Note 5 4" xfId="5084"/>
    <cellStyle name="Note 5 4 2" xfId="11327"/>
    <cellStyle name="Note 5 4 3" xfId="17482"/>
    <cellStyle name="Note 5 4 4" xfId="23609"/>
    <cellStyle name="Note 5 5" xfId="8243"/>
    <cellStyle name="Note 5 6" xfId="15024"/>
    <cellStyle name="Note 5 7" xfId="20429"/>
    <cellStyle name="Note 6" xfId="201"/>
    <cellStyle name="Note 6 2" xfId="4706"/>
    <cellStyle name="Note 6 2 2" xfId="7763"/>
    <cellStyle name="Note 6 2 2 2" xfId="14005"/>
    <cellStyle name="Note 6 2 2 3" xfId="20160"/>
    <cellStyle name="Note 6 2 2 4" xfId="26287"/>
    <cellStyle name="Note 6 2 3" xfId="10918"/>
    <cellStyle name="Note 6 2 4" xfId="17076"/>
    <cellStyle name="Note 6 2 5" xfId="23204"/>
    <cellStyle name="Note 6 3" xfId="4705"/>
    <cellStyle name="Note 6 3 2" xfId="7762"/>
    <cellStyle name="Note 6 3 2 2" xfId="14004"/>
    <cellStyle name="Note 6 3 2 3" xfId="20159"/>
    <cellStyle name="Note 6 3 2 4" xfId="26286"/>
    <cellStyle name="Note 6 3 3" xfId="10917"/>
    <cellStyle name="Note 6 3 4" xfId="17075"/>
    <cellStyle name="Note 6 3 5" xfId="23203"/>
    <cellStyle name="Note 6 4" xfId="4981"/>
    <cellStyle name="Note 6 4 2" xfId="11224"/>
    <cellStyle name="Note 6 4 3" xfId="17379"/>
    <cellStyle name="Note 6 4 4" xfId="23506"/>
    <cellStyle name="Note 6 5" xfId="8139"/>
    <cellStyle name="Note 6 6" xfId="15104"/>
    <cellStyle name="Note 6 7" xfId="21232"/>
    <cellStyle name="Note 7" xfId="4707"/>
    <cellStyle name="Note 7 2" xfId="7764"/>
    <cellStyle name="Note 7 2 2" xfId="14006"/>
    <cellStyle name="Note 7 2 3" xfId="20161"/>
    <cellStyle name="Note 7 2 4" xfId="26288"/>
    <cellStyle name="Note 7 3" xfId="10919"/>
    <cellStyle name="Note 7 4" xfId="17077"/>
    <cellStyle name="Note 7 5" xfId="23205"/>
    <cellStyle name="Note 8" xfId="4849"/>
    <cellStyle name="Note 8 2" xfId="7894"/>
    <cellStyle name="Note 8 2 2" xfId="14136"/>
    <cellStyle name="Note 8 2 3" xfId="20291"/>
    <cellStyle name="Note 8 2 4" xfId="26418"/>
    <cellStyle name="Note 8 3" xfId="11105"/>
    <cellStyle name="Note 8 4" xfId="17260"/>
    <cellStyle name="Note 8 5" xfId="23387"/>
    <cellStyle name="Note 9" xfId="4875"/>
    <cellStyle name="Note 9 2" xfId="11121"/>
    <cellStyle name="Note 9 3" xfId="17276"/>
    <cellStyle name="Note 9 4" xfId="23403"/>
    <cellStyle name="Obično_DOSSIER BUDGET 2005jr" xfId="628"/>
    <cellStyle name="Odwiedzone hiperłącze" xfId="629"/>
    <cellStyle name="Option_Added_Cont_Desc" xfId="630"/>
    <cellStyle name="Output 2" xfId="163"/>
    <cellStyle name="Output 2 2" xfId="1119"/>
    <cellStyle name="Output 3" xfId="164"/>
    <cellStyle name="Output 4" xfId="8019"/>
    <cellStyle name="Percent [2]" xfId="1431"/>
    <cellStyle name="Percent 10" xfId="1399"/>
    <cellStyle name="Percent 10 2" xfId="2090"/>
    <cellStyle name="Percent 11" xfId="1823"/>
    <cellStyle name="Percent 11 2" xfId="2092"/>
    <cellStyle name="Percent 11 2 2" xfId="4709"/>
    <cellStyle name="Percent 11 2 2 2" xfId="7766"/>
    <cellStyle name="Percent 11 2 2 2 2" xfId="14008"/>
    <cellStyle name="Percent 11 2 2 2 3" xfId="20163"/>
    <cellStyle name="Percent 11 2 2 2 4" xfId="26290"/>
    <cellStyle name="Percent 11 2 2 3" xfId="10921"/>
    <cellStyle name="Percent 11 2 2 4" xfId="17079"/>
    <cellStyle name="Percent 11 2 2 5" xfId="23207"/>
    <cellStyle name="Percent 11 2 3" xfId="4708"/>
    <cellStyle name="Percent 11 2 3 2" xfId="7765"/>
    <cellStyle name="Percent 11 2 3 2 2" xfId="14007"/>
    <cellStyle name="Percent 11 2 3 2 3" xfId="20162"/>
    <cellStyle name="Percent 11 2 3 2 4" xfId="26289"/>
    <cellStyle name="Percent 11 2 3 3" xfId="10920"/>
    <cellStyle name="Percent 11 2 3 4" xfId="17078"/>
    <cellStyle name="Percent 11 2 3 5" xfId="23206"/>
    <cellStyle name="Percent 11 2 4" xfId="5411"/>
    <cellStyle name="Percent 11 2 4 2" xfId="11653"/>
    <cellStyle name="Percent 11 2 4 3" xfId="17808"/>
    <cellStyle name="Percent 11 2 4 4" xfId="23935"/>
    <cellStyle name="Percent 11 2 5" xfId="8565"/>
    <cellStyle name="Percent 11 2 6" xfId="15025"/>
    <cellStyle name="Percent 11 2 7" xfId="20745"/>
    <cellStyle name="Percent 12" xfId="1627"/>
    <cellStyle name="Percent 12 2" xfId="2110"/>
    <cellStyle name="Percent 12 2 2" xfId="4711"/>
    <cellStyle name="Percent 12 2 2 2" xfId="7768"/>
    <cellStyle name="Percent 12 2 2 2 2" xfId="14010"/>
    <cellStyle name="Percent 12 2 2 2 3" xfId="20165"/>
    <cellStyle name="Percent 12 2 2 2 4" xfId="26292"/>
    <cellStyle name="Percent 12 2 2 3" xfId="10923"/>
    <cellStyle name="Percent 12 2 2 4" xfId="17081"/>
    <cellStyle name="Percent 12 2 2 5" xfId="23209"/>
    <cellStyle name="Percent 12 2 3" xfId="4710"/>
    <cellStyle name="Percent 12 2 3 2" xfId="7767"/>
    <cellStyle name="Percent 12 2 3 2 2" xfId="14009"/>
    <cellStyle name="Percent 12 2 3 2 3" xfId="20164"/>
    <cellStyle name="Percent 12 2 3 2 4" xfId="26291"/>
    <cellStyle name="Percent 12 2 3 3" xfId="10922"/>
    <cellStyle name="Percent 12 2 3 4" xfId="17080"/>
    <cellStyle name="Percent 12 2 3 5" xfId="23208"/>
    <cellStyle name="Percent 12 2 4" xfId="5423"/>
    <cellStyle name="Percent 12 2 4 2" xfId="11665"/>
    <cellStyle name="Percent 12 2 4 3" xfId="17820"/>
    <cellStyle name="Percent 12 2 4 4" xfId="23947"/>
    <cellStyle name="Percent 12 2 5" xfId="8577"/>
    <cellStyle name="Percent 12 2 6" xfId="15026"/>
    <cellStyle name="Percent 12 2 7" xfId="20757"/>
    <cellStyle name="Percent 13" xfId="1520"/>
    <cellStyle name="Percent 13 2" xfId="2087"/>
    <cellStyle name="Percent 14" xfId="1624"/>
    <cellStyle name="Percent 15" xfId="1473"/>
    <cellStyle name="Percent 16" xfId="1655"/>
    <cellStyle name="Percent 17" xfId="1935"/>
    <cellStyle name="Percent 18" xfId="1744"/>
    <cellStyle name="Percent 19" xfId="1850"/>
    <cellStyle name="Percent 2" xfId="165"/>
    <cellStyle name="Percent 2 2" xfId="305"/>
    <cellStyle name="Percent 2 2 10" xfId="15027"/>
    <cellStyle name="Percent 2 2 11" xfId="20409"/>
    <cellStyle name="Percent 2 2 2" xfId="1121"/>
    <cellStyle name="Percent 2 2 2 2" xfId="4713"/>
    <cellStyle name="Percent 2 2 2 3" xfId="4714"/>
    <cellStyle name="Percent 2 2 2 3 2" xfId="7770"/>
    <cellStyle name="Percent 2 2 2 3 2 2" xfId="14012"/>
    <cellStyle name="Percent 2 2 2 3 2 3" xfId="20167"/>
    <cellStyle name="Percent 2 2 2 3 2 4" xfId="26294"/>
    <cellStyle name="Percent 2 2 2 3 3" xfId="10925"/>
    <cellStyle name="Percent 2 2 2 3 4" xfId="17083"/>
    <cellStyle name="Percent 2 2 2 3 5" xfId="23211"/>
    <cellStyle name="Percent 2 2 3" xfId="1746"/>
    <cellStyle name="Percent 2 2 4" xfId="826"/>
    <cellStyle name="Percent 2 2 5" xfId="4715"/>
    <cellStyle name="Percent 2 2 5 2" xfId="7771"/>
    <cellStyle name="Percent 2 2 5 2 2" xfId="14013"/>
    <cellStyle name="Percent 2 2 5 2 3" xfId="20168"/>
    <cellStyle name="Percent 2 2 5 2 4" xfId="26295"/>
    <cellStyle name="Percent 2 2 5 3" xfId="10926"/>
    <cellStyle name="Percent 2 2 5 4" xfId="17084"/>
    <cellStyle name="Percent 2 2 5 5" xfId="23212"/>
    <cellStyle name="Percent 2 2 6" xfId="4716"/>
    <cellStyle name="Percent 2 2 6 2" xfId="7772"/>
    <cellStyle name="Percent 2 2 6 2 2" xfId="14014"/>
    <cellStyle name="Percent 2 2 6 2 3" xfId="20169"/>
    <cellStyle name="Percent 2 2 6 2 4" xfId="26296"/>
    <cellStyle name="Percent 2 2 6 3" xfId="10927"/>
    <cellStyle name="Percent 2 2 6 4" xfId="17085"/>
    <cellStyle name="Percent 2 2 6 5" xfId="23213"/>
    <cellStyle name="Percent 2 2 7" xfId="4712"/>
    <cellStyle name="Percent 2 2 7 2" xfId="7769"/>
    <cellStyle name="Percent 2 2 7 2 2" xfId="14011"/>
    <cellStyle name="Percent 2 2 7 2 3" xfId="20166"/>
    <cellStyle name="Percent 2 2 7 2 4" xfId="26293"/>
    <cellStyle name="Percent 2 2 7 3" xfId="10924"/>
    <cellStyle name="Percent 2 2 7 4" xfId="17082"/>
    <cellStyle name="Percent 2 2 7 5" xfId="23210"/>
    <cellStyle name="Percent 2 2 8" xfId="5063"/>
    <cellStyle name="Percent 2 2 8 2" xfId="11306"/>
    <cellStyle name="Percent 2 2 8 3" xfId="17461"/>
    <cellStyle name="Percent 2 2 8 4" xfId="23588"/>
    <cellStyle name="Percent 2 2 9" xfId="8221"/>
    <cellStyle name="Percent 2 3" xfId="844"/>
    <cellStyle name="Percent 2 3 2" xfId="1151"/>
    <cellStyle name="Percent 2 3 2 2" xfId="4718"/>
    <cellStyle name="Percent 2 3 2 2 2" xfId="7774"/>
    <cellStyle name="Percent 2 3 2 2 2 2" xfId="14016"/>
    <cellStyle name="Percent 2 3 2 2 2 3" xfId="20171"/>
    <cellStyle name="Percent 2 3 2 2 2 4" xfId="26298"/>
    <cellStyle name="Percent 2 3 2 2 3" xfId="10929"/>
    <cellStyle name="Percent 2 3 2 2 4" xfId="17087"/>
    <cellStyle name="Percent 2 3 2 2 5" xfId="23215"/>
    <cellStyle name="Percent 2 3 2 3" xfId="4717"/>
    <cellStyle name="Percent 2 3 2 3 2" xfId="7773"/>
    <cellStyle name="Percent 2 3 2 3 2 2" xfId="14015"/>
    <cellStyle name="Percent 2 3 2 3 2 3" xfId="20170"/>
    <cellStyle name="Percent 2 3 2 3 2 4" xfId="26297"/>
    <cellStyle name="Percent 2 3 2 3 3" xfId="10928"/>
    <cellStyle name="Percent 2 3 2 3 4" xfId="17086"/>
    <cellStyle name="Percent 2 3 2 3 5" xfId="23214"/>
    <cellStyle name="Percent 2 3 2 4" xfId="5182"/>
    <cellStyle name="Percent 2 3 2 4 2" xfId="11425"/>
    <cellStyle name="Percent 2 3 2 4 3" xfId="17580"/>
    <cellStyle name="Percent 2 3 2 4 4" xfId="23707"/>
    <cellStyle name="Percent 2 3 2 5" xfId="8340"/>
    <cellStyle name="Percent 2 3 2 6" xfId="15028"/>
    <cellStyle name="Percent 2 3 2 7" xfId="20522"/>
    <cellStyle name="Percent 2 4" xfId="1120"/>
    <cellStyle name="Percent 2 5" xfId="1561"/>
    <cellStyle name="Percent 2 6" xfId="488"/>
    <cellStyle name="Percent 2 6 2" xfId="4720"/>
    <cellStyle name="Percent 2 6 2 2" xfId="7776"/>
    <cellStyle name="Percent 2 6 2 2 2" xfId="14018"/>
    <cellStyle name="Percent 2 6 2 2 3" xfId="20173"/>
    <cellStyle name="Percent 2 6 2 2 4" xfId="26300"/>
    <cellStyle name="Percent 2 6 2 3" xfId="10931"/>
    <cellStyle name="Percent 2 6 2 4" xfId="17089"/>
    <cellStyle name="Percent 2 6 2 5" xfId="23217"/>
    <cellStyle name="Percent 2 6 3" xfId="4719"/>
    <cellStyle name="Percent 2 6 3 2" xfId="7775"/>
    <cellStyle name="Percent 2 6 3 2 2" xfId="14017"/>
    <cellStyle name="Percent 2 6 3 2 3" xfId="20172"/>
    <cellStyle name="Percent 2 6 3 2 4" xfId="26299"/>
    <cellStyle name="Percent 2 6 3 3" xfId="10930"/>
    <cellStyle name="Percent 2 6 3 4" xfId="17088"/>
    <cellStyle name="Percent 2 6 3 5" xfId="23216"/>
    <cellStyle name="Percent 2 6 4" xfId="5097"/>
    <cellStyle name="Percent 2 6 4 2" xfId="11340"/>
    <cellStyle name="Percent 2 6 4 3" xfId="17495"/>
    <cellStyle name="Percent 2 6 4 4" xfId="23622"/>
    <cellStyle name="Percent 2 6 5" xfId="8256"/>
    <cellStyle name="Percent 2 6 6" xfId="15029"/>
    <cellStyle name="Percent 2 6 7" xfId="20442"/>
    <cellStyle name="Percent 2 7" xfId="8020"/>
    <cellStyle name="Percent 2 7 2" xfId="11093"/>
    <cellStyle name="Percent 2 7 3" xfId="17248"/>
    <cellStyle name="Percent 2 7 4" xfId="23375"/>
    <cellStyle name="Percent 20" xfId="1677"/>
    <cellStyle name="Percent 21" xfId="1782"/>
    <cellStyle name="Percent 22" xfId="1931"/>
    <cellStyle name="Percent 23" xfId="1861"/>
    <cellStyle name="Percent 24" xfId="1772"/>
    <cellStyle name="Percent 25" xfId="1701"/>
    <cellStyle name="Percent 26" xfId="1852"/>
    <cellStyle name="Percent 27" xfId="2515"/>
    <cellStyle name="Percent 28" xfId="462"/>
    <cellStyle name="Percent 28 2" xfId="4722"/>
    <cellStyle name="Percent 28 2 2" xfId="7778"/>
    <cellStyle name="Percent 28 2 2 2" xfId="14020"/>
    <cellStyle name="Percent 28 2 2 3" xfId="20175"/>
    <cellStyle name="Percent 28 2 2 4" xfId="26302"/>
    <cellStyle name="Percent 28 2 3" xfId="10933"/>
    <cellStyle name="Percent 28 2 4" xfId="17091"/>
    <cellStyle name="Percent 28 2 5" xfId="23219"/>
    <cellStyle name="Percent 28 3" xfId="4721"/>
    <cellStyle name="Percent 28 3 2" xfId="7777"/>
    <cellStyle name="Percent 28 3 2 2" xfId="14019"/>
    <cellStyle name="Percent 28 3 2 3" xfId="20174"/>
    <cellStyle name="Percent 28 3 2 4" xfId="26301"/>
    <cellStyle name="Percent 28 3 3" xfId="10932"/>
    <cellStyle name="Percent 28 3 4" xfId="17090"/>
    <cellStyle name="Percent 28 3 5" xfId="23218"/>
    <cellStyle name="Percent 28 4" xfId="5083"/>
    <cellStyle name="Percent 28 4 2" xfId="11326"/>
    <cellStyle name="Percent 28 4 3" xfId="17481"/>
    <cellStyle name="Percent 28 4 4" xfId="23608"/>
    <cellStyle name="Percent 28 5" xfId="8242"/>
    <cellStyle name="Percent 28 6" xfId="15030"/>
    <cellStyle name="Percent 28 7" xfId="20428"/>
    <cellStyle name="Percent 29" xfId="2649"/>
    <cellStyle name="Percent 29 2" xfId="4724"/>
    <cellStyle name="Percent 29 3" xfId="4723"/>
    <cellStyle name="Percent 29 3 2" xfId="7779"/>
    <cellStyle name="Percent 29 3 2 2" xfId="14021"/>
    <cellStyle name="Percent 29 3 2 3" xfId="20176"/>
    <cellStyle name="Percent 29 3 2 4" xfId="26303"/>
    <cellStyle name="Percent 29 3 3" xfId="10934"/>
    <cellStyle name="Percent 29 3 4" xfId="17092"/>
    <cellStyle name="Percent 29 3 5" xfId="23220"/>
    <cellStyle name="Percent 29 4" xfId="5792"/>
    <cellStyle name="Percent 29 4 2" xfId="12034"/>
    <cellStyle name="Percent 29 4 3" xfId="18189"/>
    <cellStyle name="Percent 29 4 4" xfId="24316"/>
    <cellStyle name="Percent 29 5" xfId="8946"/>
    <cellStyle name="Percent 29 5 2" xfId="15117"/>
    <cellStyle name="Percent 29 5 3" xfId="21245"/>
    <cellStyle name="Percent 3" xfId="173"/>
    <cellStyle name="Percent 3 10" xfId="4962"/>
    <cellStyle name="Percent 3 10 2" xfId="11206"/>
    <cellStyle name="Percent 3 10 3" xfId="17361"/>
    <cellStyle name="Percent 3 10 4" xfId="23488"/>
    <cellStyle name="Percent 3 11" xfId="8120"/>
    <cellStyle name="Percent 3 12" xfId="15031"/>
    <cellStyle name="Percent 3 13" xfId="20400"/>
    <cellStyle name="Percent 3 2" xfId="845"/>
    <cellStyle name="Percent 3 2 2" xfId="4726"/>
    <cellStyle name="Percent 3 2 3" xfId="4727"/>
    <cellStyle name="Percent 3 2 3 2" xfId="7781"/>
    <cellStyle name="Percent 3 2 3 2 2" xfId="14023"/>
    <cellStyle name="Percent 3 2 3 2 3" xfId="20178"/>
    <cellStyle name="Percent 3 2 3 2 4" xfId="26305"/>
    <cellStyle name="Percent 3 2 3 3" xfId="10936"/>
    <cellStyle name="Percent 3 2 3 4" xfId="17094"/>
    <cellStyle name="Percent 3 2 3 5" xfId="23222"/>
    <cellStyle name="Percent 3 3" xfId="1122"/>
    <cellStyle name="Percent 3 4" xfId="1494"/>
    <cellStyle name="Percent 3 5" xfId="1974"/>
    <cellStyle name="Percent 3 6" xfId="754"/>
    <cellStyle name="Percent 3 7" xfId="276"/>
    <cellStyle name="Percent 3 7 2" xfId="4729"/>
    <cellStyle name="Percent 3 7 2 2" xfId="7783"/>
    <cellStyle name="Percent 3 7 2 2 2" xfId="14025"/>
    <cellStyle name="Percent 3 7 2 2 3" xfId="20180"/>
    <cellStyle name="Percent 3 7 2 2 4" xfId="26307"/>
    <cellStyle name="Percent 3 7 2 3" xfId="10938"/>
    <cellStyle name="Percent 3 7 2 4" xfId="17096"/>
    <cellStyle name="Percent 3 7 2 5" xfId="23224"/>
    <cellStyle name="Percent 3 7 3" xfId="4728"/>
    <cellStyle name="Percent 3 7 3 2" xfId="7782"/>
    <cellStyle name="Percent 3 7 3 2 2" xfId="14024"/>
    <cellStyle name="Percent 3 7 3 2 3" xfId="20179"/>
    <cellStyle name="Percent 3 7 3 2 4" xfId="26306"/>
    <cellStyle name="Percent 3 7 3 3" xfId="10937"/>
    <cellStyle name="Percent 3 7 3 4" xfId="17095"/>
    <cellStyle name="Percent 3 7 3 5" xfId="23223"/>
    <cellStyle name="Percent 3 7 4" xfId="5054"/>
    <cellStyle name="Percent 3 7 4 2" xfId="11297"/>
    <cellStyle name="Percent 3 7 4 3" xfId="17452"/>
    <cellStyle name="Percent 3 7 4 4" xfId="23579"/>
    <cellStyle name="Percent 3 7 5" xfId="8212"/>
    <cellStyle name="Percent 3 7 6" xfId="15108"/>
    <cellStyle name="Percent 3 7 7" xfId="21236"/>
    <cellStyle name="Percent 3 8" xfId="4730"/>
    <cellStyle name="Percent 3 8 2" xfId="7784"/>
    <cellStyle name="Percent 3 8 2 2" xfId="14026"/>
    <cellStyle name="Percent 3 8 2 3" xfId="20181"/>
    <cellStyle name="Percent 3 8 2 4" xfId="26308"/>
    <cellStyle name="Percent 3 8 3" xfId="10939"/>
    <cellStyle name="Percent 3 8 4" xfId="17097"/>
    <cellStyle name="Percent 3 8 5" xfId="23225"/>
    <cellStyle name="Percent 3 9" xfId="4725"/>
    <cellStyle name="Percent 3 9 2" xfId="7780"/>
    <cellStyle name="Percent 3 9 2 2" xfId="14022"/>
    <cellStyle name="Percent 3 9 2 3" xfId="20177"/>
    <cellStyle name="Percent 3 9 2 4" xfId="26304"/>
    <cellStyle name="Percent 3 9 3" xfId="10935"/>
    <cellStyle name="Percent 3 9 4" xfId="17093"/>
    <cellStyle name="Percent 3 9 5" xfId="23221"/>
    <cellStyle name="Percent 30" xfId="2653"/>
    <cellStyle name="Percent 30 2" xfId="4732"/>
    <cellStyle name="Percent 30 3" xfId="4731"/>
    <cellStyle name="Percent 30 3 2" xfId="7785"/>
    <cellStyle name="Percent 30 3 2 2" xfId="14027"/>
    <cellStyle name="Percent 30 3 2 3" xfId="20182"/>
    <cellStyle name="Percent 30 3 2 4" xfId="26309"/>
    <cellStyle name="Percent 30 3 3" xfId="10940"/>
    <cellStyle name="Percent 30 3 4" xfId="17098"/>
    <cellStyle name="Percent 30 3 5" xfId="23226"/>
    <cellStyle name="Percent 30 4" xfId="5796"/>
    <cellStyle name="Percent 30 4 2" xfId="12038"/>
    <cellStyle name="Percent 30 4 3" xfId="18193"/>
    <cellStyle name="Percent 30 4 4" xfId="24320"/>
    <cellStyle name="Percent 30 5" xfId="8950"/>
    <cellStyle name="Percent 30 6" xfId="15120"/>
    <cellStyle name="Percent 30 7" xfId="21248"/>
    <cellStyle name="Percent 31" xfId="2656"/>
    <cellStyle name="Percent 31 2" xfId="4734"/>
    <cellStyle name="Percent 31 3" xfId="4733"/>
    <cellStyle name="Percent 31 3 2" xfId="7786"/>
    <cellStyle name="Percent 31 3 2 2" xfId="14028"/>
    <cellStyle name="Percent 31 3 2 3" xfId="20183"/>
    <cellStyle name="Percent 31 3 2 4" xfId="26310"/>
    <cellStyle name="Percent 31 3 3" xfId="10941"/>
    <cellStyle name="Percent 31 3 4" xfId="17099"/>
    <cellStyle name="Percent 31 3 5" xfId="23227"/>
    <cellStyle name="Percent 31 4" xfId="5799"/>
    <cellStyle name="Percent 31 4 2" xfId="12041"/>
    <cellStyle name="Percent 31 4 3" xfId="18196"/>
    <cellStyle name="Percent 31 4 4" xfId="24323"/>
    <cellStyle name="Percent 31 5" xfId="8953"/>
    <cellStyle name="Percent 31 6" xfId="15122"/>
    <cellStyle name="Percent 31 7" xfId="21250"/>
    <cellStyle name="Percent 32" xfId="2659"/>
    <cellStyle name="Percent 32 2" xfId="4736"/>
    <cellStyle name="Percent 32 3" xfId="4735"/>
    <cellStyle name="Percent 32 3 2" xfId="7787"/>
    <cellStyle name="Percent 32 3 2 2" xfId="14029"/>
    <cellStyle name="Percent 32 3 2 3" xfId="20184"/>
    <cellStyle name="Percent 32 3 2 4" xfId="26311"/>
    <cellStyle name="Percent 32 3 3" xfId="10942"/>
    <cellStyle name="Percent 32 3 4" xfId="17100"/>
    <cellStyle name="Percent 32 3 5" xfId="23228"/>
    <cellStyle name="Percent 32 4" xfId="5802"/>
    <cellStyle name="Percent 32 4 2" xfId="12044"/>
    <cellStyle name="Percent 32 4 3" xfId="18199"/>
    <cellStyle name="Percent 32 4 4" xfId="24326"/>
    <cellStyle name="Percent 32 5" xfId="8956"/>
    <cellStyle name="Percent 32 6" xfId="15124"/>
    <cellStyle name="Percent 32 7" xfId="21252"/>
    <cellStyle name="Percent 33" xfId="2661"/>
    <cellStyle name="Percent 33 2" xfId="4738"/>
    <cellStyle name="Percent 33 3" xfId="4737"/>
    <cellStyle name="Percent 33 3 2" xfId="7788"/>
    <cellStyle name="Percent 33 3 2 2" xfId="14030"/>
    <cellStyle name="Percent 33 3 2 3" xfId="20185"/>
    <cellStyle name="Percent 33 3 2 4" xfId="26312"/>
    <cellStyle name="Percent 33 3 3" xfId="10943"/>
    <cellStyle name="Percent 33 3 4" xfId="17101"/>
    <cellStyle name="Percent 33 3 5" xfId="23229"/>
    <cellStyle name="Percent 33 4" xfId="5804"/>
    <cellStyle name="Percent 33 4 2" xfId="12046"/>
    <cellStyle name="Percent 33 4 3" xfId="18201"/>
    <cellStyle name="Percent 33 4 4" xfId="24328"/>
    <cellStyle name="Percent 33 5" xfId="8958"/>
    <cellStyle name="Percent 33 6" xfId="15125"/>
    <cellStyle name="Percent 33 7" xfId="21253"/>
    <cellStyle name="Percent 34" xfId="4739"/>
    <cellStyle name="Percent 34 2" xfId="7789"/>
    <cellStyle name="Percent 34 2 2" xfId="14031"/>
    <cellStyle name="Percent 34 2 3" xfId="20186"/>
    <cellStyle name="Percent 34 2 4" xfId="26313"/>
    <cellStyle name="Percent 34 3" xfId="10944"/>
    <cellStyle name="Percent 34 4" xfId="17102"/>
    <cellStyle name="Percent 34 5" xfId="23230"/>
    <cellStyle name="Percent 35" xfId="4740"/>
    <cellStyle name="Percent 35 2" xfId="7790"/>
    <cellStyle name="Percent 35 2 2" xfId="14032"/>
    <cellStyle name="Percent 35 2 3" xfId="20187"/>
    <cellStyle name="Percent 35 2 4" xfId="26314"/>
    <cellStyle name="Percent 35 3" xfId="10945"/>
    <cellStyle name="Percent 35 4" xfId="17103"/>
    <cellStyle name="Percent 35 5" xfId="23231"/>
    <cellStyle name="Percent 36" xfId="4741"/>
    <cellStyle name="Percent 37" xfId="4742"/>
    <cellStyle name="Percent 38" xfId="4870"/>
    <cellStyle name="Percent 38 2" xfId="8021"/>
    <cellStyle name="Percent 38 3" xfId="11054"/>
    <cellStyle name="Percent 38 4" xfId="17211"/>
    <cellStyle name="Percent 38 5" xfId="23338"/>
    <cellStyle name="Percent 39" xfId="4968"/>
    <cellStyle name="Percent 39 2" xfId="8022"/>
    <cellStyle name="Percent 39 3" xfId="8126"/>
    <cellStyle name="Percent 4" xfId="181"/>
    <cellStyle name="Percent 4 2" xfId="753"/>
    <cellStyle name="Percent 4 3" xfId="2360"/>
    <cellStyle name="Percent 4 3 2" xfId="4744"/>
    <cellStyle name="Percent 4 3 2 2" xfId="7792"/>
    <cellStyle name="Percent 4 3 2 2 2" xfId="14034"/>
    <cellStyle name="Percent 4 3 2 2 3" xfId="20189"/>
    <cellStyle name="Percent 4 3 2 2 4" xfId="26316"/>
    <cellStyle name="Percent 4 3 2 3" xfId="10947"/>
    <cellStyle name="Percent 4 3 2 4" xfId="17105"/>
    <cellStyle name="Percent 4 3 2 5" xfId="23233"/>
    <cellStyle name="Percent 4 3 3" xfId="4743"/>
    <cellStyle name="Percent 4 3 3 2" xfId="7791"/>
    <cellStyle name="Percent 4 3 3 2 2" xfId="14033"/>
    <cellStyle name="Percent 4 3 3 2 3" xfId="20188"/>
    <cellStyle name="Percent 4 3 3 2 4" xfId="26315"/>
    <cellStyle name="Percent 4 3 3 3" xfId="10946"/>
    <cellStyle name="Percent 4 3 3 4" xfId="17104"/>
    <cellStyle name="Percent 4 3 3 5" xfId="23232"/>
    <cellStyle name="Percent 4 3 4" xfId="5673"/>
    <cellStyle name="Percent 4 3 4 2" xfId="11915"/>
    <cellStyle name="Percent 4 3 4 3" xfId="18070"/>
    <cellStyle name="Percent 4 3 4 4" xfId="24197"/>
    <cellStyle name="Percent 4 3 5" xfId="8827"/>
    <cellStyle name="Percent 4 3 6" xfId="15032"/>
    <cellStyle name="Percent 4 3 7" xfId="21007"/>
    <cellStyle name="Percent 4 4" xfId="2186"/>
    <cellStyle name="Percent 4 4 2" xfId="4746"/>
    <cellStyle name="Percent 4 4 2 2" xfId="7794"/>
    <cellStyle name="Percent 4 4 2 2 2" xfId="14036"/>
    <cellStyle name="Percent 4 4 2 2 3" xfId="20191"/>
    <cellStyle name="Percent 4 4 2 2 4" xfId="26318"/>
    <cellStyle name="Percent 4 4 2 3" xfId="10949"/>
    <cellStyle name="Percent 4 4 2 4" xfId="17107"/>
    <cellStyle name="Percent 4 4 2 5" xfId="23235"/>
    <cellStyle name="Percent 4 4 3" xfId="4745"/>
    <cellStyle name="Percent 4 4 3 2" xfId="7793"/>
    <cellStyle name="Percent 4 4 3 2 2" xfId="14035"/>
    <cellStyle name="Percent 4 4 3 2 3" xfId="20190"/>
    <cellStyle name="Percent 4 4 3 2 4" xfId="26317"/>
    <cellStyle name="Percent 4 4 3 3" xfId="10948"/>
    <cellStyle name="Percent 4 4 3 4" xfId="17106"/>
    <cellStyle name="Percent 4 4 3 5" xfId="23234"/>
    <cellStyle name="Percent 4 4 4" xfId="5499"/>
    <cellStyle name="Percent 4 4 4 2" xfId="11741"/>
    <cellStyle name="Percent 4 4 4 3" xfId="17896"/>
    <cellStyle name="Percent 4 4 4 4" xfId="24023"/>
    <cellStyle name="Percent 4 4 5" xfId="8653"/>
    <cellStyle name="Percent 4 4 6" xfId="15033"/>
    <cellStyle name="Percent 4 4 7" xfId="20833"/>
    <cellStyle name="Percent 4 5" xfId="864"/>
    <cellStyle name="Percent 4 5 2" xfId="4748"/>
    <cellStyle name="Percent 4 5 2 2" xfId="7796"/>
    <cellStyle name="Percent 4 5 2 2 2" xfId="14038"/>
    <cellStyle name="Percent 4 5 2 2 3" xfId="20193"/>
    <cellStyle name="Percent 4 5 2 2 4" xfId="26320"/>
    <cellStyle name="Percent 4 5 2 3" xfId="10951"/>
    <cellStyle name="Percent 4 5 2 4" xfId="17109"/>
    <cellStyle name="Percent 4 5 2 5" xfId="23237"/>
    <cellStyle name="Percent 4 5 3" xfId="4747"/>
    <cellStyle name="Percent 4 5 3 2" xfId="7795"/>
    <cellStyle name="Percent 4 5 3 2 2" xfId="14037"/>
    <cellStyle name="Percent 4 5 3 2 3" xfId="20192"/>
    <cellStyle name="Percent 4 5 3 2 4" xfId="26319"/>
    <cellStyle name="Percent 4 5 3 3" xfId="10950"/>
    <cellStyle name="Percent 4 5 3 4" xfId="17108"/>
    <cellStyle name="Percent 4 5 3 5" xfId="23236"/>
    <cellStyle name="Percent 4 5 4" xfId="5177"/>
    <cellStyle name="Percent 4 5 4 2" xfId="11420"/>
    <cellStyle name="Percent 4 5 4 3" xfId="17575"/>
    <cellStyle name="Percent 4 5 4 4" xfId="23702"/>
    <cellStyle name="Percent 4 5 5" xfId="8334"/>
    <cellStyle name="Percent 4 5 6" xfId="15034"/>
    <cellStyle name="Percent 4 5 7" xfId="20517"/>
    <cellStyle name="Percent 40" xfId="4874"/>
    <cellStyle name="Percent 40 2" xfId="11120"/>
    <cellStyle name="Percent 40 3" xfId="17275"/>
    <cellStyle name="Percent 40 4" xfId="23402"/>
    <cellStyle name="Percent 41" xfId="5101"/>
    <cellStyle name="Percent 41 2" xfId="11344"/>
    <cellStyle name="Percent 41 3" xfId="17499"/>
    <cellStyle name="Percent 41 4" xfId="23626"/>
    <cellStyle name="Percent 42" xfId="5207"/>
    <cellStyle name="Percent 42 2" xfId="11449"/>
    <cellStyle name="Percent 42 3" xfId="17604"/>
    <cellStyle name="Percent 42 4" xfId="23731"/>
    <cellStyle name="Percent 43" xfId="5071"/>
    <cellStyle name="Percent 43 2" xfId="11314"/>
    <cellStyle name="Percent 43 3" xfId="17469"/>
    <cellStyle name="Percent 43 4" xfId="23596"/>
    <cellStyle name="Percent 44" xfId="7913"/>
    <cellStyle name="Percent 44 2" xfId="14155"/>
    <cellStyle name="Percent 44 3" xfId="20310"/>
    <cellStyle name="Percent 44 4" xfId="26437"/>
    <cellStyle name="Percent 45" xfId="5298"/>
    <cellStyle name="Percent 45 2" xfId="11540"/>
    <cellStyle name="Percent 45 3" xfId="17695"/>
    <cellStyle name="Percent 45 4" xfId="23822"/>
    <cellStyle name="Percent 46" xfId="5098"/>
    <cellStyle name="Percent 46 2" xfId="11341"/>
    <cellStyle name="Percent 46 3" xfId="17496"/>
    <cellStyle name="Percent 46 4" xfId="23623"/>
    <cellStyle name="Percent 47" xfId="8023"/>
    <cellStyle name="Percent 47 2" xfId="11058"/>
    <cellStyle name="Percent 48" xfId="8032"/>
    <cellStyle name="Percent 49" xfId="8258"/>
    <cellStyle name="Percent 5" xfId="185"/>
    <cellStyle name="Percent 5 10" xfId="15035"/>
    <cellStyle name="Percent 5 11" xfId="20412"/>
    <cellStyle name="Percent 5 2" xfId="1425"/>
    <cellStyle name="Percent 5 2 2" xfId="2437"/>
    <cellStyle name="Percent 5 2 2 2" xfId="4751"/>
    <cellStyle name="Percent 5 2 2 2 2" xfId="7799"/>
    <cellStyle name="Percent 5 2 2 2 2 2" xfId="14041"/>
    <cellStyle name="Percent 5 2 2 2 2 3" xfId="20196"/>
    <cellStyle name="Percent 5 2 2 2 2 4" xfId="26323"/>
    <cellStyle name="Percent 5 2 2 2 3" xfId="10954"/>
    <cellStyle name="Percent 5 2 2 2 4" xfId="17112"/>
    <cellStyle name="Percent 5 2 2 2 5" xfId="23240"/>
    <cellStyle name="Percent 5 2 2 3" xfId="4750"/>
    <cellStyle name="Percent 5 2 2 3 2" xfId="7798"/>
    <cellStyle name="Percent 5 2 2 3 2 2" xfId="14040"/>
    <cellStyle name="Percent 5 2 2 3 2 3" xfId="20195"/>
    <cellStyle name="Percent 5 2 2 3 2 4" xfId="26322"/>
    <cellStyle name="Percent 5 2 2 3 3" xfId="10953"/>
    <cellStyle name="Percent 5 2 2 3 4" xfId="17111"/>
    <cellStyle name="Percent 5 2 2 3 5" xfId="23239"/>
    <cellStyle name="Percent 5 2 2 4" xfId="5750"/>
    <cellStyle name="Percent 5 2 2 4 2" xfId="11992"/>
    <cellStyle name="Percent 5 2 2 4 3" xfId="18147"/>
    <cellStyle name="Percent 5 2 2 4 4" xfId="24274"/>
    <cellStyle name="Percent 5 2 2 5" xfId="8904"/>
    <cellStyle name="Percent 5 2 2 6" xfId="15036"/>
    <cellStyle name="Percent 5 2 2 7" xfId="21084"/>
    <cellStyle name="Percent 5 2 3" xfId="4752"/>
    <cellStyle name="Percent 5 2 4" xfId="4753"/>
    <cellStyle name="Percent 5 2 4 2" xfId="7800"/>
    <cellStyle name="Percent 5 2 4 2 2" xfId="14042"/>
    <cellStyle name="Percent 5 2 4 2 3" xfId="20197"/>
    <cellStyle name="Percent 5 2 4 2 4" xfId="26324"/>
    <cellStyle name="Percent 5 2 4 3" xfId="10955"/>
    <cellStyle name="Percent 5 2 4 4" xfId="17113"/>
    <cellStyle name="Percent 5 2 4 5" xfId="23241"/>
    <cellStyle name="Percent 5 3" xfId="1697"/>
    <cellStyle name="Percent 5 3 2" xfId="4755"/>
    <cellStyle name="Percent 5 3 2 2" xfId="7802"/>
    <cellStyle name="Percent 5 3 2 2 2" xfId="14044"/>
    <cellStyle name="Percent 5 3 2 2 3" xfId="20199"/>
    <cellStyle name="Percent 5 3 2 2 4" xfId="26326"/>
    <cellStyle name="Percent 5 3 2 3" xfId="10957"/>
    <cellStyle name="Percent 5 3 2 4" xfId="17115"/>
    <cellStyle name="Percent 5 3 2 5" xfId="23243"/>
    <cellStyle name="Percent 5 3 3" xfId="4754"/>
    <cellStyle name="Percent 5 3 3 2" xfId="7801"/>
    <cellStyle name="Percent 5 3 3 2 2" xfId="14043"/>
    <cellStyle name="Percent 5 3 3 2 3" xfId="20198"/>
    <cellStyle name="Percent 5 3 3 2 4" xfId="26325"/>
    <cellStyle name="Percent 5 3 3 3" xfId="10956"/>
    <cellStyle name="Percent 5 3 3 4" xfId="17114"/>
    <cellStyle name="Percent 5 3 3 5" xfId="23242"/>
    <cellStyle name="Percent 5 3 4" xfId="5272"/>
    <cellStyle name="Percent 5 3 4 2" xfId="11514"/>
    <cellStyle name="Percent 5 3 4 3" xfId="17669"/>
    <cellStyle name="Percent 5 3 4 4" xfId="23796"/>
    <cellStyle name="Percent 5 3 5" xfId="8428"/>
    <cellStyle name="Percent 5 3 6" xfId="15037"/>
    <cellStyle name="Percent 5 3 7" xfId="20609"/>
    <cellStyle name="Percent 5 4" xfId="444"/>
    <cellStyle name="Percent 5 5" xfId="316"/>
    <cellStyle name="Percent 5 5 2" xfId="4757"/>
    <cellStyle name="Percent 5 5 2 2" xfId="7804"/>
    <cellStyle name="Percent 5 5 2 2 2" xfId="14046"/>
    <cellStyle name="Percent 5 5 2 2 3" xfId="20201"/>
    <cellStyle name="Percent 5 5 2 2 4" xfId="26328"/>
    <cellStyle name="Percent 5 5 2 3" xfId="10959"/>
    <cellStyle name="Percent 5 5 2 4" xfId="17117"/>
    <cellStyle name="Percent 5 5 2 5" xfId="23245"/>
    <cellStyle name="Percent 5 5 3" xfId="4756"/>
    <cellStyle name="Percent 5 5 3 2" xfId="7803"/>
    <cellStyle name="Percent 5 5 3 2 2" xfId="14045"/>
    <cellStyle name="Percent 5 5 3 2 3" xfId="20200"/>
    <cellStyle name="Percent 5 5 3 2 4" xfId="26327"/>
    <cellStyle name="Percent 5 5 3 3" xfId="10958"/>
    <cellStyle name="Percent 5 5 3 4" xfId="17116"/>
    <cellStyle name="Percent 5 5 3 5" xfId="23244"/>
    <cellStyle name="Percent 5 5 4" xfId="5066"/>
    <cellStyle name="Percent 5 5 4 2" xfId="11309"/>
    <cellStyle name="Percent 5 5 4 3" xfId="17464"/>
    <cellStyle name="Percent 5 5 4 4" xfId="23591"/>
    <cellStyle name="Percent 5 5 5" xfId="8224"/>
    <cellStyle name="Percent 5 5 6" xfId="15114"/>
    <cellStyle name="Percent 5 5 7" xfId="21242"/>
    <cellStyle name="Percent 5 6" xfId="4758"/>
    <cellStyle name="Percent 5 6 2" xfId="7805"/>
    <cellStyle name="Percent 5 6 2 2" xfId="14047"/>
    <cellStyle name="Percent 5 6 2 3" xfId="20202"/>
    <cellStyle name="Percent 5 6 2 4" xfId="26329"/>
    <cellStyle name="Percent 5 6 3" xfId="10960"/>
    <cellStyle name="Percent 5 6 4" xfId="17118"/>
    <cellStyle name="Percent 5 6 5" xfId="23246"/>
    <cellStyle name="Percent 5 7" xfId="4749"/>
    <cellStyle name="Percent 5 7 2" xfId="7797"/>
    <cellStyle name="Percent 5 7 2 2" xfId="14039"/>
    <cellStyle name="Percent 5 7 2 3" xfId="20194"/>
    <cellStyle name="Percent 5 7 2 4" xfId="26321"/>
    <cellStyle name="Percent 5 7 3" xfId="10952"/>
    <cellStyle name="Percent 5 7 4" xfId="17110"/>
    <cellStyle name="Percent 5 7 5" xfId="23238"/>
    <cellStyle name="Percent 5 8" xfId="4966"/>
    <cellStyle name="Percent 5 8 2" xfId="11210"/>
    <cellStyle name="Percent 5 8 3" xfId="17365"/>
    <cellStyle name="Percent 5 8 4" xfId="23492"/>
    <cellStyle name="Percent 5 9" xfId="8124"/>
    <cellStyle name="Percent 50" xfId="10690"/>
    <cellStyle name="Percent 51" xfId="14157"/>
    <cellStyle name="Percent 52" xfId="14159"/>
    <cellStyle name="Percent 53" xfId="14165"/>
    <cellStyle name="Percent 54" xfId="21205"/>
    <cellStyle name="Percent 6" xfId="1714"/>
    <cellStyle name="Percent 6 2" xfId="2446"/>
    <cellStyle name="Percent 6 2 2" xfId="4760"/>
    <cellStyle name="Percent 6 2 2 2" xfId="7807"/>
    <cellStyle name="Percent 6 2 2 2 2" xfId="14049"/>
    <cellStyle name="Percent 6 2 2 2 3" xfId="20204"/>
    <cellStyle name="Percent 6 2 2 2 4" xfId="26331"/>
    <cellStyle name="Percent 6 2 2 3" xfId="10962"/>
    <cellStyle name="Percent 6 2 2 4" xfId="17120"/>
    <cellStyle name="Percent 6 2 2 5" xfId="23248"/>
    <cellStyle name="Percent 6 2 3" xfId="4761"/>
    <cellStyle name="Percent 6 2 3 2" xfId="7808"/>
    <cellStyle name="Percent 6 2 3 2 2" xfId="14050"/>
    <cellStyle name="Percent 6 2 3 2 3" xfId="20205"/>
    <cellStyle name="Percent 6 2 3 2 4" xfId="26332"/>
    <cellStyle name="Percent 6 2 3 3" xfId="10963"/>
    <cellStyle name="Percent 6 2 3 4" xfId="17121"/>
    <cellStyle name="Percent 6 2 3 5" xfId="23249"/>
    <cellStyle name="Percent 6 2 4" xfId="4759"/>
    <cellStyle name="Percent 6 2 4 2" xfId="7806"/>
    <cellStyle name="Percent 6 2 4 2 2" xfId="14048"/>
    <cellStyle name="Percent 6 2 4 2 3" xfId="20203"/>
    <cellStyle name="Percent 6 2 4 2 4" xfId="26330"/>
    <cellStyle name="Percent 6 2 4 3" xfId="10961"/>
    <cellStyle name="Percent 6 2 4 4" xfId="17119"/>
    <cellStyle name="Percent 6 2 4 5" xfId="23247"/>
    <cellStyle name="Percent 6 2 5" xfId="5759"/>
    <cellStyle name="Percent 6 2 5 2" xfId="12001"/>
    <cellStyle name="Percent 6 2 5 3" xfId="18156"/>
    <cellStyle name="Percent 6 2 5 4" xfId="24283"/>
    <cellStyle name="Percent 6 2 6" xfId="8913"/>
    <cellStyle name="Percent 6 2 7" xfId="15038"/>
    <cellStyle name="Percent 6 2 8" xfId="21093"/>
    <cellStyle name="Percent 6 3" xfId="2274"/>
    <cellStyle name="Percent 6 3 2" xfId="4763"/>
    <cellStyle name="Percent 6 3 2 2" xfId="7810"/>
    <cellStyle name="Percent 6 3 2 2 2" xfId="14052"/>
    <cellStyle name="Percent 6 3 2 2 3" xfId="20207"/>
    <cellStyle name="Percent 6 3 2 2 4" xfId="26334"/>
    <cellStyle name="Percent 6 3 2 3" xfId="10965"/>
    <cellStyle name="Percent 6 3 2 4" xfId="17123"/>
    <cellStyle name="Percent 6 3 2 5" xfId="23251"/>
    <cellStyle name="Percent 6 3 3" xfId="4762"/>
    <cellStyle name="Percent 6 3 3 2" xfId="7809"/>
    <cellStyle name="Percent 6 3 3 2 2" xfId="14051"/>
    <cellStyle name="Percent 6 3 3 2 3" xfId="20206"/>
    <cellStyle name="Percent 6 3 3 2 4" xfId="26333"/>
    <cellStyle name="Percent 6 3 3 3" xfId="10964"/>
    <cellStyle name="Percent 6 3 3 4" xfId="17122"/>
    <cellStyle name="Percent 6 3 3 5" xfId="23250"/>
    <cellStyle name="Percent 6 3 4" xfId="5587"/>
    <cellStyle name="Percent 6 3 4 2" xfId="11829"/>
    <cellStyle name="Percent 6 3 4 3" xfId="17984"/>
    <cellStyle name="Percent 6 3 4 4" xfId="24111"/>
    <cellStyle name="Percent 6 3 5" xfId="8741"/>
    <cellStyle name="Percent 6 3 6" xfId="15039"/>
    <cellStyle name="Percent 6 3 7" xfId="20921"/>
    <cellStyle name="Percent 6 4" xfId="2061"/>
    <cellStyle name="Percent 6 4 2" xfId="4765"/>
    <cellStyle name="Percent 6 4 2 2" xfId="7812"/>
    <cellStyle name="Percent 6 4 2 2 2" xfId="14054"/>
    <cellStyle name="Percent 6 4 2 2 3" xfId="20209"/>
    <cellStyle name="Percent 6 4 2 2 4" xfId="26336"/>
    <cellStyle name="Percent 6 4 2 3" xfId="10967"/>
    <cellStyle name="Percent 6 4 2 4" xfId="17125"/>
    <cellStyle name="Percent 6 4 2 5" xfId="23253"/>
    <cellStyle name="Percent 6 4 3" xfId="4764"/>
    <cellStyle name="Percent 6 4 3 2" xfId="7811"/>
    <cellStyle name="Percent 6 4 3 2 2" xfId="14053"/>
    <cellStyle name="Percent 6 4 3 2 3" xfId="20208"/>
    <cellStyle name="Percent 6 4 3 2 4" xfId="26335"/>
    <cellStyle name="Percent 6 4 3 3" xfId="10966"/>
    <cellStyle name="Percent 6 4 3 4" xfId="17124"/>
    <cellStyle name="Percent 6 4 3 5" xfId="23252"/>
    <cellStyle name="Percent 6 4 4" xfId="5399"/>
    <cellStyle name="Percent 6 4 4 2" xfId="11641"/>
    <cellStyle name="Percent 6 4 4 3" xfId="17796"/>
    <cellStyle name="Percent 6 4 4 4" xfId="23923"/>
    <cellStyle name="Percent 6 4 5" xfId="8554"/>
    <cellStyle name="Percent 6 4 6" xfId="15040"/>
    <cellStyle name="Percent 6 4 7" xfId="20734"/>
    <cellStyle name="Percent 6 5" xfId="4766"/>
    <cellStyle name="Percent 6 6" xfId="4767"/>
    <cellStyle name="Percent 6 6 2" xfId="7813"/>
    <cellStyle name="Percent 6 6 2 2" xfId="14055"/>
    <cellStyle name="Percent 6 6 2 3" xfId="20210"/>
    <cellStyle name="Percent 6 6 2 4" xfId="26337"/>
    <cellStyle name="Percent 6 6 3" xfId="10968"/>
    <cellStyle name="Percent 6 6 4" xfId="17126"/>
    <cellStyle name="Percent 6 6 5" xfId="23254"/>
    <cellStyle name="Percent 7" xfId="445"/>
    <cellStyle name="Percent 7 2" xfId="2070"/>
    <cellStyle name="Percent 8" xfId="1532"/>
    <cellStyle name="Percent 8 2" xfId="2086"/>
    <cellStyle name="Percent 9" xfId="1829"/>
    <cellStyle name="Percent 9 2" xfId="2283"/>
    <cellStyle name="Percent 9 2 2" xfId="4769"/>
    <cellStyle name="Percent 9 2 2 2" xfId="7815"/>
    <cellStyle name="Percent 9 2 2 2 2" xfId="14057"/>
    <cellStyle name="Percent 9 2 2 2 3" xfId="20212"/>
    <cellStyle name="Percent 9 2 2 2 4" xfId="26339"/>
    <cellStyle name="Percent 9 2 2 3" xfId="10970"/>
    <cellStyle name="Percent 9 2 2 4" xfId="17128"/>
    <cellStyle name="Percent 9 2 2 5" xfId="23256"/>
    <cellStyle name="Percent 9 2 3" xfId="4768"/>
    <cellStyle name="Percent 9 2 3 2" xfId="7814"/>
    <cellStyle name="Percent 9 2 3 2 2" xfId="14056"/>
    <cellStyle name="Percent 9 2 3 2 3" xfId="20211"/>
    <cellStyle name="Percent 9 2 3 2 4" xfId="26338"/>
    <cellStyle name="Percent 9 2 3 3" xfId="10969"/>
    <cellStyle name="Percent 9 2 3 4" xfId="17127"/>
    <cellStyle name="Percent 9 2 3 5" xfId="23255"/>
    <cellStyle name="Percent 9 2 4" xfId="5596"/>
    <cellStyle name="Percent 9 2 4 2" xfId="11838"/>
    <cellStyle name="Percent 9 2 4 3" xfId="17993"/>
    <cellStyle name="Percent 9 2 4 4" xfId="24120"/>
    <cellStyle name="Percent 9 2 5" xfId="8750"/>
    <cellStyle name="Percent 9 2 6" xfId="15041"/>
    <cellStyle name="Percent 9 2 7" xfId="20930"/>
    <cellStyle name="Percent 9 3" xfId="1965"/>
    <cellStyle name="Percent 9 3 2" xfId="4771"/>
    <cellStyle name="Percent 9 3 2 2" xfId="7817"/>
    <cellStyle name="Percent 9 3 2 2 2" xfId="14059"/>
    <cellStyle name="Percent 9 3 2 2 3" xfId="20214"/>
    <cellStyle name="Percent 9 3 2 2 4" xfId="26341"/>
    <cellStyle name="Percent 9 3 2 3" xfId="10972"/>
    <cellStyle name="Percent 9 3 2 4" xfId="17130"/>
    <cellStyle name="Percent 9 3 2 5" xfId="23258"/>
    <cellStyle name="Percent 9 3 3" xfId="4770"/>
    <cellStyle name="Percent 9 3 3 2" xfId="7816"/>
    <cellStyle name="Percent 9 3 3 2 2" xfId="14058"/>
    <cellStyle name="Percent 9 3 3 2 3" xfId="20213"/>
    <cellStyle name="Percent 9 3 3 2 4" xfId="26340"/>
    <cellStyle name="Percent 9 3 3 3" xfId="10971"/>
    <cellStyle name="Percent 9 3 3 4" xfId="17129"/>
    <cellStyle name="Percent 9 3 3 5" xfId="23257"/>
    <cellStyle name="Percent 9 3 4" xfId="5320"/>
    <cellStyle name="Percent 9 3 4 2" xfId="11562"/>
    <cellStyle name="Percent 9 3 4 3" xfId="17717"/>
    <cellStyle name="Percent 9 3 4 4" xfId="23844"/>
    <cellStyle name="Percent 9 3 5" xfId="8475"/>
    <cellStyle name="Percent 9 3 6" xfId="15042"/>
    <cellStyle name="Percent 9 3 7" xfId="20655"/>
    <cellStyle name="Percentá" xfId="187" builtinId="5"/>
    <cellStyle name="percentá 2" xfId="306"/>
    <cellStyle name="percentá 2 10" xfId="447"/>
    <cellStyle name="percentá 2 10 2" xfId="4772"/>
    <cellStyle name="percentá 2 10 2 2" xfId="7818"/>
    <cellStyle name="percentá 2 10 2 2 2" xfId="14060"/>
    <cellStyle name="percentá 2 10 2 2 3" xfId="20215"/>
    <cellStyle name="percentá 2 10 2 2 4" xfId="26342"/>
    <cellStyle name="percentá 2 10 2 3" xfId="10973"/>
    <cellStyle name="percentá 2 10 2 4" xfId="17131"/>
    <cellStyle name="percentá 2 10 2 5" xfId="23259"/>
    <cellStyle name="percentá 2 11" xfId="448"/>
    <cellStyle name="Percentá 2 11 2" xfId="4773"/>
    <cellStyle name="Percentá 2 11 2 2" xfId="7819"/>
    <cellStyle name="Percentá 2 11 2 2 2" xfId="14061"/>
    <cellStyle name="Percentá 2 11 2 2 3" xfId="20216"/>
    <cellStyle name="Percentá 2 11 2 2 4" xfId="26343"/>
    <cellStyle name="Percentá 2 11 2 3" xfId="10974"/>
    <cellStyle name="Percentá 2 11 2 4" xfId="17132"/>
    <cellStyle name="Percentá 2 11 2 5" xfId="23260"/>
    <cellStyle name="percentá 2 12" xfId="449"/>
    <cellStyle name="Percentá 2 12 2" xfId="4774"/>
    <cellStyle name="Percentá 2 12 2 2" xfId="7820"/>
    <cellStyle name="Percentá 2 12 2 2 2" xfId="14062"/>
    <cellStyle name="Percentá 2 12 2 2 3" xfId="20217"/>
    <cellStyle name="Percentá 2 12 2 2 4" xfId="26344"/>
    <cellStyle name="Percentá 2 12 2 3" xfId="10975"/>
    <cellStyle name="Percentá 2 12 2 4" xfId="17133"/>
    <cellStyle name="Percentá 2 12 2 5" xfId="23261"/>
    <cellStyle name="percentá 2 13" xfId="450"/>
    <cellStyle name="Percentá 2 13 2" xfId="4775"/>
    <cellStyle name="Percentá 2 13 2 2" xfId="7821"/>
    <cellStyle name="Percentá 2 13 2 2 2" xfId="14063"/>
    <cellStyle name="Percentá 2 13 2 2 3" xfId="20218"/>
    <cellStyle name="Percentá 2 13 2 2 4" xfId="26345"/>
    <cellStyle name="Percentá 2 13 2 3" xfId="10976"/>
    <cellStyle name="Percentá 2 13 2 4" xfId="17134"/>
    <cellStyle name="Percentá 2 13 2 5" xfId="23262"/>
    <cellStyle name="percentá 2 14" xfId="451"/>
    <cellStyle name="Percentá 2 14 2" xfId="4776"/>
    <cellStyle name="Percentá 2 14 2 2" xfId="7822"/>
    <cellStyle name="Percentá 2 14 2 2 2" xfId="14064"/>
    <cellStyle name="Percentá 2 14 2 2 3" xfId="20219"/>
    <cellStyle name="Percentá 2 14 2 2 4" xfId="26346"/>
    <cellStyle name="Percentá 2 14 2 3" xfId="10977"/>
    <cellStyle name="Percentá 2 14 2 4" xfId="17135"/>
    <cellStyle name="Percentá 2 14 2 5" xfId="23263"/>
    <cellStyle name="percentá 2 15" xfId="452"/>
    <cellStyle name="Percentá 2 15 2" xfId="4777"/>
    <cellStyle name="Percentá 2 15 2 2" xfId="7823"/>
    <cellStyle name="Percentá 2 15 2 2 2" xfId="14065"/>
    <cellStyle name="Percentá 2 15 2 2 3" xfId="20220"/>
    <cellStyle name="Percentá 2 15 2 2 4" xfId="26347"/>
    <cellStyle name="Percentá 2 15 2 3" xfId="10978"/>
    <cellStyle name="Percentá 2 15 2 4" xfId="17136"/>
    <cellStyle name="Percentá 2 15 2 5" xfId="23264"/>
    <cellStyle name="Percentá 2 16" xfId="846"/>
    <cellStyle name="Percentá 2 16 2" xfId="1688"/>
    <cellStyle name="Percentá 2 17" xfId="1184"/>
    <cellStyle name="Percentá 2 17 2" xfId="1837"/>
    <cellStyle name="Percentá 2 17 3" xfId="4779"/>
    <cellStyle name="Percentá 2 17 3 2" xfId="7825"/>
    <cellStyle name="Percentá 2 17 3 2 2" xfId="14067"/>
    <cellStyle name="Percentá 2 17 3 2 3" xfId="20222"/>
    <cellStyle name="Percentá 2 17 3 2 4" xfId="26349"/>
    <cellStyle name="Percentá 2 17 3 3" xfId="10980"/>
    <cellStyle name="Percentá 2 17 3 4" xfId="17138"/>
    <cellStyle name="Percentá 2 17 3 5" xfId="23266"/>
    <cellStyle name="Percentá 2 17 4" xfId="4778"/>
    <cellStyle name="Percentá 2 17 4 2" xfId="7824"/>
    <cellStyle name="Percentá 2 17 4 2 2" xfId="14066"/>
    <cellStyle name="Percentá 2 17 4 2 3" xfId="20221"/>
    <cellStyle name="Percentá 2 17 4 2 4" xfId="26348"/>
    <cellStyle name="Percentá 2 17 4 3" xfId="10979"/>
    <cellStyle name="Percentá 2 17 4 4" xfId="17137"/>
    <cellStyle name="Percentá 2 17 4 5" xfId="23265"/>
    <cellStyle name="Percentá 2 17 5" xfId="5188"/>
    <cellStyle name="Percentá 2 17 5 2" xfId="11431"/>
    <cellStyle name="Percentá 2 17 5 3" xfId="17586"/>
    <cellStyle name="Percentá 2 17 5 4" xfId="23713"/>
    <cellStyle name="Percentá 2 17 6" xfId="8346"/>
    <cellStyle name="Percentá 2 17 7" xfId="15043"/>
    <cellStyle name="Percentá 2 17 8" xfId="20528"/>
    <cellStyle name="Percentá 2 18" xfId="1196"/>
    <cellStyle name="Percentá 2 18 2" xfId="1785"/>
    <cellStyle name="Percentá 2 18 3" xfId="4781"/>
    <cellStyle name="Percentá 2 18 3 2" xfId="7827"/>
    <cellStyle name="Percentá 2 18 3 2 2" xfId="14069"/>
    <cellStyle name="Percentá 2 18 3 2 3" xfId="20224"/>
    <cellStyle name="Percentá 2 18 3 2 4" xfId="26351"/>
    <cellStyle name="Percentá 2 18 3 3" xfId="10982"/>
    <cellStyle name="Percentá 2 18 3 4" xfId="17140"/>
    <cellStyle name="Percentá 2 18 3 5" xfId="23268"/>
    <cellStyle name="Percentá 2 18 4" xfId="4780"/>
    <cellStyle name="Percentá 2 18 4 2" xfId="7826"/>
    <cellStyle name="Percentá 2 18 4 2 2" xfId="14068"/>
    <cellStyle name="Percentá 2 18 4 2 3" xfId="20223"/>
    <cellStyle name="Percentá 2 18 4 2 4" xfId="26350"/>
    <cellStyle name="Percentá 2 18 4 3" xfId="10981"/>
    <cellStyle name="Percentá 2 18 4 4" xfId="17139"/>
    <cellStyle name="Percentá 2 18 4 5" xfId="23267"/>
    <cellStyle name="Percentá 2 18 5" xfId="5192"/>
    <cellStyle name="Percentá 2 18 5 2" xfId="11434"/>
    <cellStyle name="Percentá 2 18 5 3" xfId="17589"/>
    <cellStyle name="Percentá 2 18 5 4" xfId="23716"/>
    <cellStyle name="Percentá 2 18 6" xfId="8350"/>
    <cellStyle name="Percentá 2 18 7" xfId="15044"/>
    <cellStyle name="Percentá 2 18 8" xfId="20532"/>
    <cellStyle name="percentá 2 19" xfId="1208"/>
    <cellStyle name="Percentá 2 19 2" xfId="1414"/>
    <cellStyle name="percentá 2 2" xfId="453"/>
    <cellStyle name="Percentá 2 2 2" xfId="1185"/>
    <cellStyle name="Percentá 2 2 2 10" xfId="7911"/>
    <cellStyle name="Percentá 2 2 2 10 2" xfId="14153"/>
    <cellStyle name="Percentá 2 2 2 10 3" xfId="20308"/>
    <cellStyle name="Percentá 2 2 2 10 4" xfId="26435"/>
    <cellStyle name="Percentá 2 2 2 11" xfId="8347"/>
    <cellStyle name="Percentá 2 2 2 12" xfId="15045"/>
    <cellStyle name="Percentá 2 2 2 13" xfId="20529"/>
    <cellStyle name="percentá 2 2 2 2" xfId="1764"/>
    <cellStyle name="Percentá 2 2 2 2 2" xfId="4783"/>
    <cellStyle name="Percentá 2 2 2 2 2 2" xfId="7829"/>
    <cellStyle name="Percentá 2 2 2 2 2 2 2" xfId="14071"/>
    <cellStyle name="Percentá 2 2 2 2 2 2 3" xfId="20226"/>
    <cellStyle name="Percentá 2 2 2 2 2 2 4" xfId="26353"/>
    <cellStyle name="Percentá 2 2 2 2 2 3" xfId="10984"/>
    <cellStyle name="Percentá 2 2 2 2 2 4" xfId="17142"/>
    <cellStyle name="Percentá 2 2 2 2 2 5" xfId="23270"/>
    <cellStyle name="Percentá 2 2 2 3" xfId="4784"/>
    <cellStyle name="Percentá 2 2 2 3 2" xfId="7830"/>
    <cellStyle name="Percentá 2 2 2 3 2 2" xfId="14072"/>
    <cellStyle name="Percentá 2 2 2 3 2 3" xfId="20227"/>
    <cellStyle name="Percentá 2 2 2 3 2 4" xfId="26354"/>
    <cellStyle name="Percentá 2 2 2 3 3" xfId="10985"/>
    <cellStyle name="Percentá 2 2 2 3 4" xfId="17143"/>
    <cellStyle name="Percentá 2 2 2 3 5" xfId="23271"/>
    <cellStyle name="Percentá 2 2 2 4" xfId="4785"/>
    <cellStyle name="Percentá 2 2 2 4 2" xfId="7831"/>
    <cellStyle name="Percentá 2 2 2 4 2 2" xfId="14073"/>
    <cellStyle name="Percentá 2 2 2 4 2 3" xfId="20228"/>
    <cellStyle name="Percentá 2 2 2 4 2 4" xfId="26355"/>
    <cellStyle name="Percentá 2 2 2 4 3" xfId="10986"/>
    <cellStyle name="Percentá 2 2 2 4 4" xfId="17144"/>
    <cellStyle name="Percentá 2 2 2 4 5" xfId="23272"/>
    <cellStyle name="Percentá 2 2 2 5" xfId="4782"/>
    <cellStyle name="Percentá 2 2 2 5 2" xfId="7828"/>
    <cellStyle name="Percentá 2 2 2 5 2 2" xfId="14070"/>
    <cellStyle name="Percentá 2 2 2 5 2 3" xfId="20225"/>
    <cellStyle name="Percentá 2 2 2 5 2 4" xfId="26352"/>
    <cellStyle name="Percentá 2 2 2 5 3" xfId="10983"/>
    <cellStyle name="Percentá 2 2 2 5 4" xfId="17141"/>
    <cellStyle name="Percentá 2 2 2 5 5" xfId="23269"/>
    <cellStyle name="Percentá 2 2 2 6" xfId="5189"/>
    <cellStyle name="Percentá 2 2 2 6 2" xfId="11050"/>
    <cellStyle name="Percentá 2 2 2 6 3" xfId="17207"/>
    <cellStyle name="Percentá 2 2 2 6 4" xfId="23334"/>
    <cellStyle name="Percentá 2 2 2 7" xfId="5099"/>
    <cellStyle name="Percentá 2 2 2 7 2" xfId="11342"/>
    <cellStyle name="Percentá 2 2 2 7 3" xfId="17497"/>
    <cellStyle name="Percentá 2 2 2 7 4" xfId="23624"/>
    <cellStyle name="Percentá 2 2 2 8" xfId="7907"/>
    <cellStyle name="Percentá 2 2 2 8 2" xfId="14149"/>
    <cellStyle name="Percentá 2 2 2 8 3" xfId="20304"/>
    <cellStyle name="Percentá 2 2 2 8 4" xfId="26431"/>
    <cellStyle name="Percentá 2 2 2 9" xfId="7914"/>
    <cellStyle name="Percentá 2 2 2 9 2" xfId="14156"/>
    <cellStyle name="Percentá 2 2 2 9 3" xfId="20311"/>
    <cellStyle name="Percentá 2 2 2 9 4" xfId="26438"/>
    <cellStyle name="Percentá 2 2 3" xfId="1845"/>
    <cellStyle name="Percentá 2 2 3 2" xfId="4786"/>
    <cellStyle name="Percentá 2 2 3 2 2" xfId="7832"/>
    <cellStyle name="Percentá 2 2 3 2 2 2" xfId="14074"/>
    <cellStyle name="Percentá 2 2 3 2 2 3" xfId="20229"/>
    <cellStyle name="Percentá 2 2 3 2 2 4" xfId="26356"/>
    <cellStyle name="Percentá 2 2 3 2 3" xfId="10987"/>
    <cellStyle name="Percentá 2 2 3 2 4" xfId="17145"/>
    <cellStyle name="Percentá 2 2 3 2 5" xfId="23273"/>
    <cellStyle name="Percentá 2 2 4" xfId="1417"/>
    <cellStyle name="Percentá 2 2 4 2" xfId="4787"/>
    <cellStyle name="Percentá 2 2 4 2 2" xfId="7833"/>
    <cellStyle name="Percentá 2 2 4 2 2 2" xfId="14075"/>
    <cellStyle name="Percentá 2 2 4 2 2 3" xfId="20230"/>
    <cellStyle name="Percentá 2 2 4 2 2 4" xfId="26357"/>
    <cellStyle name="Percentá 2 2 4 2 3" xfId="10988"/>
    <cellStyle name="Percentá 2 2 4 2 4" xfId="17146"/>
    <cellStyle name="Percentá 2 2 4 2 5" xfId="23274"/>
    <cellStyle name="Percentá 2 2 5" xfId="1620"/>
    <cellStyle name="percentá 2 20" xfId="1247"/>
    <cellStyle name="percentá 2 20 2" xfId="1309"/>
    <cellStyle name="percentá 2 20 3" xfId="1268"/>
    <cellStyle name="percentá 2 21" xfId="1243"/>
    <cellStyle name="percentá 2 22" xfId="1248"/>
    <cellStyle name="percentá 2 23" xfId="486"/>
    <cellStyle name="percentá 2 24" xfId="861"/>
    <cellStyle name="percentá 2 25" xfId="1257"/>
    <cellStyle name="percentá 2 26" xfId="1274"/>
    <cellStyle name="percentá 2 27" xfId="1303"/>
    <cellStyle name="percentá 2 28" xfId="1277"/>
    <cellStyle name="percentá 2 29" xfId="1269"/>
    <cellStyle name="percentá 2 3" xfId="454"/>
    <cellStyle name="Percentá 2 3 10" xfId="4788"/>
    <cellStyle name="Percentá 2 3 10 2" xfId="7834"/>
    <cellStyle name="Percentá 2 3 10 2 2" xfId="14076"/>
    <cellStyle name="Percentá 2 3 10 2 3" xfId="20231"/>
    <cellStyle name="Percentá 2 3 10 2 4" xfId="26358"/>
    <cellStyle name="Percentá 2 3 10 3" xfId="10989"/>
    <cellStyle name="Percentá 2 3 10 4" xfId="17147"/>
    <cellStyle name="Percentá 2 3 10 5" xfId="23275"/>
    <cellStyle name="percentá 2 3 11" xfId="4789"/>
    <cellStyle name="percentá 2 3 11 2" xfId="7835"/>
    <cellStyle name="percentá 2 3 11 2 2" xfId="14077"/>
    <cellStyle name="percentá 2 3 11 2 3" xfId="20232"/>
    <cellStyle name="percentá 2 3 11 2 4" xfId="26359"/>
    <cellStyle name="percentá 2 3 11 3" xfId="10990"/>
    <cellStyle name="percentá 2 3 11 4" xfId="17148"/>
    <cellStyle name="percentá 2 3 11 5" xfId="23276"/>
    <cellStyle name="percentá 2 3 12" xfId="4790"/>
    <cellStyle name="percentá 2 3 12 2" xfId="7836"/>
    <cellStyle name="percentá 2 3 12 2 2" xfId="14078"/>
    <cellStyle name="percentá 2 3 12 2 3" xfId="20233"/>
    <cellStyle name="percentá 2 3 12 2 4" xfId="26360"/>
    <cellStyle name="percentá 2 3 12 3" xfId="10991"/>
    <cellStyle name="percentá 2 3 12 4" xfId="17149"/>
    <cellStyle name="percentá 2 3 12 5" xfId="23277"/>
    <cellStyle name="percentá 2 3 2" xfId="1392"/>
    <cellStyle name="Percentá 2 3 2 2" xfId="4791"/>
    <cellStyle name="Percentá 2 3 2 2 2" xfId="7837"/>
    <cellStyle name="Percentá 2 3 2 2 2 2" xfId="14079"/>
    <cellStyle name="Percentá 2 3 2 2 2 3" xfId="20234"/>
    <cellStyle name="Percentá 2 3 2 2 2 4" xfId="26361"/>
    <cellStyle name="Percentá 2 3 2 2 3" xfId="10992"/>
    <cellStyle name="Percentá 2 3 2 2 4" xfId="17150"/>
    <cellStyle name="Percentá 2 3 2 2 5" xfId="23278"/>
    <cellStyle name="Percentá 2 3 3" xfId="1687"/>
    <cellStyle name="Percentá 2 3 4" xfId="1777"/>
    <cellStyle name="Percentá 2 3 5" xfId="1442"/>
    <cellStyle name="Percentá 2 3 6" xfId="2104"/>
    <cellStyle name="Percentá 2 3 6 2" xfId="4793"/>
    <cellStyle name="Percentá 2 3 6 2 2" xfId="7839"/>
    <cellStyle name="Percentá 2 3 6 2 2 2" xfId="14081"/>
    <cellStyle name="Percentá 2 3 6 2 2 3" xfId="20236"/>
    <cellStyle name="Percentá 2 3 6 2 2 4" xfId="26363"/>
    <cellStyle name="Percentá 2 3 6 2 3" xfId="10994"/>
    <cellStyle name="Percentá 2 3 6 2 4" xfId="17152"/>
    <cellStyle name="Percentá 2 3 6 2 5" xfId="23280"/>
    <cellStyle name="Percentá 2 3 6 3" xfId="4792"/>
    <cellStyle name="Percentá 2 3 6 3 2" xfId="7838"/>
    <cellStyle name="Percentá 2 3 6 3 2 2" xfId="14080"/>
    <cellStyle name="Percentá 2 3 6 3 2 3" xfId="20235"/>
    <cellStyle name="Percentá 2 3 6 3 2 4" xfId="26362"/>
    <cellStyle name="Percentá 2 3 6 3 3" xfId="10993"/>
    <cellStyle name="Percentá 2 3 6 3 4" xfId="17151"/>
    <cellStyle name="Percentá 2 3 6 3 5" xfId="23279"/>
    <cellStyle name="Percentá 2 3 6 4" xfId="5420"/>
    <cellStyle name="Percentá 2 3 6 4 2" xfId="11662"/>
    <cellStyle name="Percentá 2 3 6 4 3" xfId="17817"/>
    <cellStyle name="Percentá 2 3 6 4 4" xfId="23944"/>
    <cellStyle name="Percentá 2 3 6 5" xfId="8574"/>
    <cellStyle name="Percentá 2 3 6 6" xfId="15046"/>
    <cellStyle name="Percentá 2 3 6 7" xfId="20754"/>
    <cellStyle name="Percentá 2 3 7" xfId="2462"/>
    <cellStyle name="Percentá 2 3 7 2" xfId="4795"/>
    <cellStyle name="Percentá 2 3 7 2 2" xfId="7841"/>
    <cellStyle name="Percentá 2 3 7 2 2 2" xfId="14083"/>
    <cellStyle name="Percentá 2 3 7 2 2 3" xfId="20238"/>
    <cellStyle name="Percentá 2 3 7 2 2 4" xfId="26365"/>
    <cellStyle name="Percentá 2 3 7 2 3" xfId="10996"/>
    <cellStyle name="Percentá 2 3 7 2 4" xfId="17154"/>
    <cellStyle name="Percentá 2 3 7 2 5" xfId="23282"/>
    <cellStyle name="Percentá 2 3 7 3" xfId="4794"/>
    <cellStyle name="Percentá 2 3 7 3 2" xfId="7840"/>
    <cellStyle name="Percentá 2 3 7 3 2 2" xfId="14082"/>
    <cellStyle name="Percentá 2 3 7 3 2 3" xfId="20237"/>
    <cellStyle name="Percentá 2 3 7 3 2 4" xfId="26364"/>
    <cellStyle name="Percentá 2 3 7 3 3" xfId="10995"/>
    <cellStyle name="Percentá 2 3 7 3 4" xfId="17153"/>
    <cellStyle name="Percentá 2 3 7 3 5" xfId="23281"/>
    <cellStyle name="Percentá 2 3 7 4" xfId="5769"/>
    <cellStyle name="Percentá 2 3 7 4 2" xfId="12011"/>
    <cellStyle name="Percentá 2 3 7 4 3" xfId="18166"/>
    <cellStyle name="Percentá 2 3 7 4 4" xfId="24293"/>
    <cellStyle name="Percentá 2 3 7 5" xfId="8923"/>
    <cellStyle name="Percentá 2 3 7 6" xfId="15047"/>
    <cellStyle name="Percentá 2 3 7 7" xfId="21103"/>
    <cellStyle name="Percentá 2 3 8" xfId="2472"/>
    <cellStyle name="Percentá 2 3 8 2" xfId="4797"/>
    <cellStyle name="Percentá 2 3 8 2 2" xfId="7843"/>
    <cellStyle name="Percentá 2 3 8 2 2 2" xfId="14085"/>
    <cellStyle name="Percentá 2 3 8 2 2 3" xfId="20240"/>
    <cellStyle name="Percentá 2 3 8 2 2 4" xfId="26367"/>
    <cellStyle name="Percentá 2 3 8 2 3" xfId="10998"/>
    <cellStyle name="Percentá 2 3 8 2 4" xfId="17156"/>
    <cellStyle name="Percentá 2 3 8 2 5" xfId="23284"/>
    <cellStyle name="Percentá 2 3 8 3" xfId="4796"/>
    <cellStyle name="Percentá 2 3 8 3 2" xfId="7842"/>
    <cellStyle name="Percentá 2 3 8 3 2 2" xfId="14084"/>
    <cellStyle name="Percentá 2 3 8 3 2 3" xfId="20239"/>
    <cellStyle name="Percentá 2 3 8 3 2 4" xfId="26366"/>
    <cellStyle name="Percentá 2 3 8 3 3" xfId="10997"/>
    <cellStyle name="Percentá 2 3 8 3 4" xfId="17155"/>
    <cellStyle name="Percentá 2 3 8 3 5" xfId="23283"/>
    <cellStyle name="Percentá 2 3 8 4" xfId="5770"/>
    <cellStyle name="Percentá 2 3 8 4 2" xfId="12012"/>
    <cellStyle name="Percentá 2 3 8 4 3" xfId="18167"/>
    <cellStyle name="Percentá 2 3 8 4 4" xfId="24294"/>
    <cellStyle name="Percentá 2 3 8 5" xfId="8924"/>
    <cellStyle name="Percentá 2 3 8 6" xfId="15048"/>
    <cellStyle name="Percentá 2 3 8 7" xfId="21104"/>
    <cellStyle name="Percentá 2 3 9" xfId="2180"/>
    <cellStyle name="Percentá 2 3 9 2" xfId="4799"/>
    <cellStyle name="Percentá 2 3 9 2 2" xfId="7845"/>
    <cellStyle name="Percentá 2 3 9 2 2 2" xfId="14087"/>
    <cellStyle name="Percentá 2 3 9 2 2 3" xfId="20242"/>
    <cellStyle name="Percentá 2 3 9 2 2 4" xfId="26369"/>
    <cellStyle name="Percentá 2 3 9 2 3" xfId="11000"/>
    <cellStyle name="Percentá 2 3 9 2 4" xfId="17158"/>
    <cellStyle name="Percentá 2 3 9 2 5" xfId="23286"/>
    <cellStyle name="Percentá 2 3 9 3" xfId="4798"/>
    <cellStyle name="Percentá 2 3 9 3 2" xfId="7844"/>
    <cellStyle name="Percentá 2 3 9 3 2 2" xfId="14086"/>
    <cellStyle name="Percentá 2 3 9 3 2 3" xfId="20241"/>
    <cellStyle name="Percentá 2 3 9 3 2 4" xfId="26368"/>
    <cellStyle name="Percentá 2 3 9 3 3" xfId="10999"/>
    <cellStyle name="Percentá 2 3 9 3 4" xfId="17157"/>
    <cellStyle name="Percentá 2 3 9 3 5" xfId="23285"/>
    <cellStyle name="Percentá 2 3 9 4" xfId="5493"/>
    <cellStyle name="Percentá 2 3 9 4 2" xfId="11735"/>
    <cellStyle name="Percentá 2 3 9 4 3" xfId="17890"/>
    <cellStyle name="Percentá 2 3 9 4 4" xfId="24017"/>
    <cellStyle name="Percentá 2 3 9 5" xfId="8647"/>
    <cellStyle name="Percentá 2 3 9 6" xfId="15049"/>
    <cellStyle name="Percentá 2 3 9 7" xfId="20827"/>
    <cellStyle name="percentá 2 30" xfId="1281"/>
    <cellStyle name="percentá 2 31" xfId="1261"/>
    <cellStyle name="percentá 2 32" xfId="1307"/>
    <cellStyle name="percentá 2 33" xfId="1308"/>
    <cellStyle name="Percentá 2 34" xfId="1302"/>
    <cellStyle name="Percentá 2 34 2" xfId="4801"/>
    <cellStyle name="Percentá 2 34 2 2" xfId="7847"/>
    <cellStyle name="Percentá 2 34 2 2 2" xfId="14089"/>
    <cellStyle name="Percentá 2 34 2 2 3" xfId="20244"/>
    <cellStyle name="Percentá 2 34 2 2 4" xfId="26371"/>
    <cellStyle name="Percentá 2 34 2 3" xfId="11002"/>
    <cellStyle name="Percentá 2 34 2 4" xfId="17160"/>
    <cellStyle name="Percentá 2 34 2 5" xfId="23288"/>
    <cellStyle name="Percentá 2 34 3" xfId="4800"/>
    <cellStyle name="Percentá 2 34 3 2" xfId="7846"/>
    <cellStyle name="Percentá 2 34 3 2 2" xfId="14088"/>
    <cellStyle name="Percentá 2 34 3 2 3" xfId="20243"/>
    <cellStyle name="Percentá 2 34 3 2 4" xfId="26370"/>
    <cellStyle name="Percentá 2 34 3 3" xfId="11001"/>
    <cellStyle name="Percentá 2 34 3 4" xfId="17159"/>
    <cellStyle name="Percentá 2 34 3 5" xfId="23287"/>
    <cellStyle name="Percentá 2 34 4" xfId="5223"/>
    <cellStyle name="Percentá 2 34 4 2" xfId="11465"/>
    <cellStyle name="Percentá 2 34 4 3" xfId="17620"/>
    <cellStyle name="Percentá 2 34 4 4" xfId="23747"/>
    <cellStyle name="Percentá 2 34 5" xfId="8379"/>
    <cellStyle name="Percentá 2 34 6" xfId="15050"/>
    <cellStyle name="Percentá 2 34 7" xfId="20561"/>
    <cellStyle name="percentá 2 35" xfId="1294"/>
    <cellStyle name="percentá 2 36" xfId="1286"/>
    <cellStyle name="percentá 2 37" xfId="1280"/>
    <cellStyle name="percentá 2 38" xfId="1334"/>
    <cellStyle name="percentá 2 39" xfId="1367"/>
    <cellStyle name="percentá 2 4" xfId="455"/>
    <cellStyle name="Percentá 2 4 2" xfId="2261"/>
    <cellStyle name="Percentá 2 4 2 2" xfId="4803"/>
    <cellStyle name="Percentá 2 4 2 2 2" xfId="7849"/>
    <cellStyle name="Percentá 2 4 2 2 2 2" xfId="14091"/>
    <cellStyle name="Percentá 2 4 2 2 2 3" xfId="20246"/>
    <cellStyle name="Percentá 2 4 2 2 2 4" xfId="26373"/>
    <cellStyle name="Percentá 2 4 2 2 3" xfId="11004"/>
    <cellStyle name="Percentá 2 4 2 2 4" xfId="17162"/>
    <cellStyle name="Percentá 2 4 2 2 5" xfId="23290"/>
    <cellStyle name="Percentá 2 4 2 3" xfId="4802"/>
    <cellStyle name="Percentá 2 4 2 3 2" xfId="7848"/>
    <cellStyle name="Percentá 2 4 2 3 2 2" xfId="14090"/>
    <cellStyle name="Percentá 2 4 2 3 2 3" xfId="20245"/>
    <cellStyle name="Percentá 2 4 2 3 2 4" xfId="26372"/>
    <cellStyle name="Percentá 2 4 2 3 3" xfId="11003"/>
    <cellStyle name="Percentá 2 4 2 3 4" xfId="17161"/>
    <cellStyle name="Percentá 2 4 2 3 5" xfId="23289"/>
    <cellStyle name="Percentá 2 4 2 4" xfId="5574"/>
    <cellStyle name="Percentá 2 4 2 4 2" xfId="11816"/>
    <cellStyle name="Percentá 2 4 2 4 3" xfId="17971"/>
    <cellStyle name="Percentá 2 4 2 4 4" xfId="24098"/>
    <cellStyle name="Percentá 2 4 2 5" xfId="8728"/>
    <cellStyle name="Percentá 2 4 2 6" xfId="15051"/>
    <cellStyle name="Percentá 2 4 2 7" xfId="20908"/>
    <cellStyle name="percentá 2 4 3" xfId="4804"/>
    <cellStyle name="percentá 2 4 3 2" xfId="7850"/>
    <cellStyle name="percentá 2 4 3 2 2" xfId="14092"/>
    <cellStyle name="percentá 2 4 3 2 3" xfId="20247"/>
    <cellStyle name="percentá 2 4 3 2 4" xfId="26374"/>
    <cellStyle name="percentá 2 4 3 3" xfId="11005"/>
    <cellStyle name="percentá 2 4 3 4" xfId="17163"/>
    <cellStyle name="percentá 2 4 3 5" xfId="23291"/>
    <cellStyle name="percentá 2 4 4" xfId="4805"/>
    <cellStyle name="percentá 2 4 4 2" xfId="7851"/>
    <cellStyle name="percentá 2 4 4 2 2" xfId="14093"/>
    <cellStyle name="percentá 2 4 4 2 3" xfId="20248"/>
    <cellStyle name="percentá 2 4 4 2 4" xfId="26375"/>
    <cellStyle name="percentá 2 4 4 3" xfId="11006"/>
    <cellStyle name="percentá 2 4 4 4" xfId="17164"/>
    <cellStyle name="percentá 2 4 4 5" xfId="23292"/>
    <cellStyle name="percentá 2 40" xfId="1369"/>
    <cellStyle name="percentá 2 41" xfId="1373"/>
    <cellStyle name="percentá 2 42" xfId="1368"/>
    <cellStyle name="percentá 2 43" xfId="1372"/>
    <cellStyle name="percentá 2 44" xfId="1370"/>
    <cellStyle name="percentá 2 45" xfId="1371"/>
    <cellStyle name="percentá 2 46" xfId="1316"/>
    <cellStyle name="percentá 2 47" xfId="1320"/>
    <cellStyle name="Percentá 2 48" xfId="1351"/>
    <cellStyle name="Percentá 2 49" xfId="1329"/>
    <cellStyle name="percentá 2 5" xfId="456"/>
    <cellStyle name="Percentá 2 5 2" xfId="4806"/>
    <cellStyle name="Percentá 2 5 2 2" xfId="7852"/>
    <cellStyle name="Percentá 2 5 2 2 2" xfId="14094"/>
    <cellStyle name="Percentá 2 5 2 2 3" xfId="20249"/>
    <cellStyle name="Percentá 2 5 2 2 4" xfId="26376"/>
    <cellStyle name="Percentá 2 5 2 3" xfId="11007"/>
    <cellStyle name="Percentá 2 5 2 4" xfId="17165"/>
    <cellStyle name="Percentá 2 5 2 5" xfId="23293"/>
    <cellStyle name="percentá 2 5 3" xfId="4807"/>
    <cellStyle name="percentá 2 5 3 2" xfId="7853"/>
    <cellStyle name="percentá 2 5 3 2 2" xfId="14095"/>
    <cellStyle name="percentá 2 5 3 2 3" xfId="20250"/>
    <cellStyle name="percentá 2 5 3 2 4" xfId="26377"/>
    <cellStyle name="percentá 2 5 3 3" xfId="11008"/>
    <cellStyle name="percentá 2 5 3 4" xfId="17166"/>
    <cellStyle name="percentá 2 5 3 5" xfId="23294"/>
    <cellStyle name="percentá 2 5 4" xfId="4808"/>
    <cellStyle name="percentá 2 5 4 2" xfId="7854"/>
    <cellStyle name="percentá 2 5 4 2 2" xfId="14096"/>
    <cellStyle name="percentá 2 5 4 2 3" xfId="20251"/>
    <cellStyle name="percentá 2 5 4 2 4" xfId="26378"/>
    <cellStyle name="percentá 2 5 4 3" xfId="11009"/>
    <cellStyle name="percentá 2 5 4 4" xfId="17167"/>
    <cellStyle name="percentá 2 5 4 5" xfId="23295"/>
    <cellStyle name="Percentá 2 50" xfId="1352"/>
    <cellStyle name="Percentá 2 51" xfId="1356"/>
    <cellStyle name="Percentá 2 52" xfId="1363"/>
    <cellStyle name="Percentá 2 53" xfId="1319"/>
    <cellStyle name="Percentá 2 54" xfId="1366"/>
    <cellStyle name="Percentá 2 55" xfId="1315"/>
    <cellStyle name="Percentá 2 56" xfId="1327"/>
    <cellStyle name="Percentá 2 57" xfId="1365"/>
    <cellStyle name="Percentá 2 58" xfId="1579"/>
    <cellStyle name="Percentá 2 59" xfId="1678"/>
    <cellStyle name="percentá 2 6" xfId="457"/>
    <cellStyle name="percentá 2 6 2" xfId="4809"/>
    <cellStyle name="percentá 2 6 2 2" xfId="7855"/>
    <cellStyle name="percentá 2 6 2 2 2" xfId="14097"/>
    <cellStyle name="percentá 2 6 2 2 3" xfId="20252"/>
    <cellStyle name="percentá 2 6 2 2 4" xfId="26379"/>
    <cellStyle name="percentá 2 6 2 3" xfId="11010"/>
    <cellStyle name="percentá 2 6 2 4" xfId="17168"/>
    <cellStyle name="percentá 2 6 2 5" xfId="23296"/>
    <cellStyle name="Percentá 2 60" xfId="1705"/>
    <cellStyle name="Percentá 2 60 2" xfId="4811"/>
    <cellStyle name="Percentá 2 60 2 2" xfId="7857"/>
    <cellStyle name="Percentá 2 60 2 2 2" xfId="14099"/>
    <cellStyle name="Percentá 2 60 2 2 3" xfId="20254"/>
    <cellStyle name="Percentá 2 60 2 2 4" xfId="26381"/>
    <cellStyle name="Percentá 2 60 2 3" xfId="11012"/>
    <cellStyle name="Percentá 2 60 2 4" xfId="17170"/>
    <cellStyle name="Percentá 2 60 2 5" xfId="23298"/>
    <cellStyle name="Percentá 2 60 3" xfId="4810"/>
    <cellStyle name="Percentá 2 60 3 2" xfId="7856"/>
    <cellStyle name="Percentá 2 60 3 2 2" xfId="14098"/>
    <cellStyle name="Percentá 2 60 3 2 3" xfId="20253"/>
    <cellStyle name="Percentá 2 60 3 2 4" xfId="26380"/>
    <cellStyle name="Percentá 2 60 3 3" xfId="11011"/>
    <cellStyle name="Percentá 2 60 3 4" xfId="17169"/>
    <cellStyle name="Percentá 2 60 3 5" xfId="23297"/>
    <cellStyle name="Percentá 2 60 4" xfId="5275"/>
    <cellStyle name="Percentá 2 60 4 2" xfId="11517"/>
    <cellStyle name="Percentá 2 60 4 3" xfId="17672"/>
    <cellStyle name="Percentá 2 60 4 4" xfId="23799"/>
    <cellStyle name="Percentá 2 60 5" xfId="8431"/>
    <cellStyle name="Percentá 2 60 6" xfId="15052"/>
    <cellStyle name="Percentá 2 60 7" xfId="20612"/>
    <cellStyle name="Percentá 2 61" xfId="2049"/>
    <cellStyle name="Percentá 2 61 2" xfId="4813"/>
    <cellStyle name="Percentá 2 61 2 2" xfId="7859"/>
    <cellStyle name="Percentá 2 61 2 2 2" xfId="14101"/>
    <cellStyle name="Percentá 2 61 2 2 3" xfId="20256"/>
    <cellStyle name="Percentá 2 61 2 2 4" xfId="26383"/>
    <cellStyle name="Percentá 2 61 2 3" xfId="11014"/>
    <cellStyle name="Percentá 2 61 2 4" xfId="17172"/>
    <cellStyle name="Percentá 2 61 2 5" xfId="23300"/>
    <cellStyle name="Percentá 2 61 3" xfId="4812"/>
    <cellStyle name="Percentá 2 61 3 2" xfId="7858"/>
    <cellStyle name="Percentá 2 61 3 2 2" xfId="14100"/>
    <cellStyle name="Percentá 2 61 3 2 3" xfId="20255"/>
    <cellStyle name="Percentá 2 61 3 2 4" xfId="26382"/>
    <cellStyle name="Percentá 2 61 3 3" xfId="11013"/>
    <cellStyle name="Percentá 2 61 3 4" xfId="17171"/>
    <cellStyle name="Percentá 2 61 3 5" xfId="23299"/>
    <cellStyle name="Percentá 2 61 4" xfId="5389"/>
    <cellStyle name="Percentá 2 61 4 2" xfId="11631"/>
    <cellStyle name="Percentá 2 61 4 3" xfId="17786"/>
    <cellStyle name="Percentá 2 61 4 4" xfId="23913"/>
    <cellStyle name="Percentá 2 61 5" xfId="8544"/>
    <cellStyle name="Percentá 2 61 6" xfId="15053"/>
    <cellStyle name="Percentá 2 61 7" xfId="20724"/>
    <cellStyle name="Percentá 2 62" xfId="2460"/>
    <cellStyle name="Percentá 2 62 2" xfId="4815"/>
    <cellStyle name="Percentá 2 62 2 2" xfId="7861"/>
    <cellStyle name="Percentá 2 62 2 2 2" xfId="14103"/>
    <cellStyle name="Percentá 2 62 2 2 3" xfId="20258"/>
    <cellStyle name="Percentá 2 62 2 2 4" xfId="26385"/>
    <cellStyle name="Percentá 2 62 2 3" xfId="11016"/>
    <cellStyle name="Percentá 2 62 2 4" xfId="17174"/>
    <cellStyle name="Percentá 2 62 2 5" xfId="23302"/>
    <cellStyle name="Percentá 2 62 3" xfId="4814"/>
    <cellStyle name="Percentá 2 62 3 2" xfId="7860"/>
    <cellStyle name="Percentá 2 62 3 2 2" xfId="14102"/>
    <cellStyle name="Percentá 2 62 3 2 3" xfId="20257"/>
    <cellStyle name="Percentá 2 62 3 2 4" xfId="26384"/>
    <cellStyle name="Percentá 2 62 3 3" xfId="11015"/>
    <cellStyle name="Percentá 2 62 3 4" xfId="17173"/>
    <cellStyle name="Percentá 2 62 3 5" xfId="23301"/>
    <cellStyle name="Percentá 2 62 4" xfId="5768"/>
    <cellStyle name="Percentá 2 62 4 2" xfId="12010"/>
    <cellStyle name="Percentá 2 62 4 3" xfId="18165"/>
    <cellStyle name="Percentá 2 62 4 4" xfId="24292"/>
    <cellStyle name="Percentá 2 62 5" xfId="8922"/>
    <cellStyle name="Percentá 2 62 6" xfId="15054"/>
    <cellStyle name="Percentá 2 62 7" xfId="21102"/>
    <cellStyle name="Percentá 2 63" xfId="2480"/>
    <cellStyle name="Percentá 2 63 2" xfId="4817"/>
    <cellStyle name="Percentá 2 63 2 2" xfId="7863"/>
    <cellStyle name="Percentá 2 63 2 2 2" xfId="14105"/>
    <cellStyle name="Percentá 2 63 2 2 3" xfId="20260"/>
    <cellStyle name="Percentá 2 63 2 2 4" xfId="26387"/>
    <cellStyle name="Percentá 2 63 2 3" xfId="11018"/>
    <cellStyle name="Percentá 2 63 2 4" xfId="17176"/>
    <cellStyle name="Percentá 2 63 2 5" xfId="23304"/>
    <cellStyle name="Percentá 2 63 3" xfId="4816"/>
    <cellStyle name="Percentá 2 63 3 2" xfId="7862"/>
    <cellStyle name="Percentá 2 63 3 2 2" xfId="14104"/>
    <cellStyle name="Percentá 2 63 3 2 3" xfId="20259"/>
    <cellStyle name="Percentá 2 63 3 2 4" xfId="26386"/>
    <cellStyle name="Percentá 2 63 3 3" xfId="11017"/>
    <cellStyle name="Percentá 2 63 3 4" xfId="17175"/>
    <cellStyle name="Percentá 2 63 3 5" xfId="23303"/>
    <cellStyle name="Percentá 2 63 4" xfId="5772"/>
    <cellStyle name="Percentá 2 63 4 2" xfId="12014"/>
    <cellStyle name="Percentá 2 63 4 3" xfId="18169"/>
    <cellStyle name="Percentá 2 63 4 4" xfId="24296"/>
    <cellStyle name="Percentá 2 63 5" xfId="8926"/>
    <cellStyle name="Percentá 2 63 6" xfId="15055"/>
    <cellStyle name="Percentá 2 63 7" xfId="21106"/>
    <cellStyle name="Percentá 2 64" xfId="2475"/>
    <cellStyle name="Percentá 2 64 2" xfId="4819"/>
    <cellStyle name="Percentá 2 64 2 2" xfId="7865"/>
    <cellStyle name="Percentá 2 64 2 2 2" xfId="14107"/>
    <cellStyle name="Percentá 2 64 2 2 3" xfId="20262"/>
    <cellStyle name="Percentá 2 64 2 2 4" xfId="26389"/>
    <cellStyle name="Percentá 2 64 2 3" xfId="11020"/>
    <cellStyle name="Percentá 2 64 2 4" xfId="17178"/>
    <cellStyle name="Percentá 2 64 2 5" xfId="23306"/>
    <cellStyle name="Percentá 2 64 3" xfId="4818"/>
    <cellStyle name="Percentá 2 64 3 2" xfId="7864"/>
    <cellStyle name="Percentá 2 64 3 2 2" xfId="14106"/>
    <cellStyle name="Percentá 2 64 3 2 3" xfId="20261"/>
    <cellStyle name="Percentá 2 64 3 2 4" xfId="26388"/>
    <cellStyle name="Percentá 2 64 3 3" xfId="11019"/>
    <cellStyle name="Percentá 2 64 3 4" xfId="17177"/>
    <cellStyle name="Percentá 2 64 3 5" xfId="23305"/>
    <cellStyle name="Percentá 2 64 4" xfId="5771"/>
    <cellStyle name="Percentá 2 64 4 2" xfId="12013"/>
    <cellStyle name="Percentá 2 64 4 3" xfId="18168"/>
    <cellStyle name="Percentá 2 64 4 4" xfId="24295"/>
    <cellStyle name="Percentá 2 64 5" xfId="8925"/>
    <cellStyle name="Percentá 2 64 6" xfId="15056"/>
    <cellStyle name="Percentá 2 64 7" xfId="21105"/>
    <cellStyle name="Percentá 2 65" xfId="2522"/>
    <cellStyle name="Percentá 2 65 2" xfId="4821"/>
    <cellStyle name="Percentá 2 65 2 2" xfId="7867"/>
    <cellStyle name="Percentá 2 65 2 2 2" xfId="14109"/>
    <cellStyle name="Percentá 2 65 2 2 3" xfId="20264"/>
    <cellStyle name="Percentá 2 65 2 2 4" xfId="26391"/>
    <cellStyle name="Percentá 2 65 2 3" xfId="11022"/>
    <cellStyle name="Percentá 2 65 2 4" xfId="17180"/>
    <cellStyle name="Percentá 2 65 2 5" xfId="23308"/>
    <cellStyle name="Percentá 2 65 3" xfId="4820"/>
    <cellStyle name="Percentá 2 65 3 2" xfId="7866"/>
    <cellStyle name="Percentá 2 65 3 2 2" xfId="14108"/>
    <cellStyle name="Percentá 2 65 3 2 3" xfId="20263"/>
    <cellStyle name="Percentá 2 65 3 2 4" xfId="26390"/>
    <cellStyle name="Percentá 2 65 3 3" xfId="11021"/>
    <cellStyle name="Percentá 2 65 3 4" xfId="17179"/>
    <cellStyle name="Percentá 2 65 3 5" xfId="23307"/>
    <cellStyle name="Percentá 2 65 4" xfId="5774"/>
    <cellStyle name="Percentá 2 65 4 2" xfId="12016"/>
    <cellStyle name="Percentá 2 65 4 3" xfId="18171"/>
    <cellStyle name="Percentá 2 65 4 4" xfId="24298"/>
    <cellStyle name="Percentá 2 65 5" xfId="8928"/>
    <cellStyle name="Percentá 2 65 6" xfId="15057"/>
    <cellStyle name="Percentá 2 65 7" xfId="21108"/>
    <cellStyle name="Percentá 2 66" xfId="2523"/>
    <cellStyle name="Percentá 2 66 2" xfId="4823"/>
    <cellStyle name="Percentá 2 66 2 2" xfId="7869"/>
    <cellStyle name="Percentá 2 66 2 2 2" xfId="14111"/>
    <cellStyle name="Percentá 2 66 2 2 3" xfId="20266"/>
    <cellStyle name="Percentá 2 66 2 2 4" xfId="26393"/>
    <cellStyle name="Percentá 2 66 2 3" xfId="11024"/>
    <cellStyle name="Percentá 2 66 2 4" xfId="17182"/>
    <cellStyle name="Percentá 2 66 2 5" xfId="23310"/>
    <cellStyle name="Percentá 2 66 3" xfId="4822"/>
    <cellStyle name="Percentá 2 66 3 2" xfId="7868"/>
    <cellStyle name="Percentá 2 66 3 2 2" xfId="14110"/>
    <cellStyle name="Percentá 2 66 3 2 3" xfId="20265"/>
    <cellStyle name="Percentá 2 66 3 2 4" xfId="26392"/>
    <cellStyle name="Percentá 2 66 3 3" xfId="11023"/>
    <cellStyle name="Percentá 2 66 3 4" xfId="17181"/>
    <cellStyle name="Percentá 2 66 3 5" xfId="23309"/>
    <cellStyle name="Percentá 2 66 4" xfId="5775"/>
    <cellStyle name="Percentá 2 66 4 2" xfId="12017"/>
    <cellStyle name="Percentá 2 66 4 3" xfId="18172"/>
    <cellStyle name="Percentá 2 66 4 4" xfId="24299"/>
    <cellStyle name="Percentá 2 66 5" xfId="8929"/>
    <cellStyle name="Percentá 2 66 6" xfId="15058"/>
    <cellStyle name="Percentá 2 66 7" xfId="21109"/>
    <cellStyle name="Percentá 2 67" xfId="2514"/>
    <cellStyle name="Percentá 2 67 2" xfId="4825"/>
    <cellStyle name="Percentá 2 67 2 2" xfId="7871"/>
    <cellStyle name="Percentá 2 67 2 2 2" xfId="14113"/>
    <cellStyle name="Percentá 2 67 2 2 3" xfId="20268"/>
    <cellStyle name="Percentá 2 67 2 2 4" xfId="26395"/>
    <cellStyle name="Percentá 2 67 2 3" xfId="11026"/>
    <cellStyle name="Percentá 2 67 2 4" xfId="17184"/>
    <cellStyle name="Percentá 2 67 2 5" xfId="23312"/>
    <cellStyle name="Percentá 2 67 3" xfId="4824"/>
    <cellStyle name="Percentá 2 67 3 2" xfId="7870"/>
    <cellStyle name="Percentá 2 67 3 2 2" xfId="14112"/>
    <cellStyle name="Percentá 2 67 3 2 3" xfId="20267"/>
    <cellStyle name="Percentá 2 67 3 2 4" xfId="26394"/>
    <cellStyle name="Percentá 2 67 3 3" xfId="11025"/>
    <cellStyle name="Percentá 2 67 3 4" xfId="17183"/>
    <cellStyle name="Percentá 2 67 3 5" xfId="23311"/>
    <cellStyle name="Percentá 2 67 4" xfId="5773"/>
    <cellStyle name="Percentá 2 67 4 2" xfId="12015"/>
    <cellStyle name="Percentá 2 67 4 3" xfId="18170"/>
    <cellStyle name="Percentá 2 67 4 4" xfId="24297"/>
    <cellStyle name="Percentá 2 67 5" xfId="8927"/>
    <cellStyle name="Percentá 2 67 6" xfId="15059"/>
    <cellStyle name="Percentá 2 67 7" xfId="21107"/>
    <cellStyle name="percentá 2 68" xfId="2534"/>
    <cellStyle name="percentá 2 69" xfId="2529"/>
    <cellStyle name="percentá 2 7" xfId="458"/>
    <cellStyle name="percentá 2 7 2" xfId="4826"/>
    <cellStyle name="percentá 2 7 2 2" xfId="7872"/>
    <cellStyle name="percentá 2 7 2 2 2" xfId="14114"/>
    <cellStyle name="percentá 2 7 2 2 3" xfId="20269"/>
    <cellStyle name="percentá 2 7 2 2 4" xfId="26396"/>
    <cellStyle name="percentá 2 7 2 3" xfId="11027"/>
    <cellStyle name="percentá 2 7 2 4" xfId="17185"/>
    <cellStyle name="percentá 2 7 2 5" xfId="23313"/>
    <cellStyle name="percentá 2 70" xfId="2531"/>
    <cellStyle name="percentá 2 71" xfId="2608"/>
    <cellStyle name="percentá 2 72" xfId="2532"/>
    <cellStyle name="percentá 2 73" xfId="2536"/>
    <cellStyle name="percentá 2 74" xfId="1252"/>
    <cellStyle name="percentá 2 75" xfId="1255"/>
    <cellStyle name="percentá 2 76" xfId="2645"/>
    <cellStyle name="percentá 2 77" xfId="1254"/>
    <cellStyle name="percentá 2 78" xfId="446"/>
    <cellStyle name="Percentá 2 79" xfId="4827"/>
    <cellStyle name="Percentá 2 79 2" xfId="8024"/>
    <cellStyle name="Percentá 2 79 3" xfId="8025"/>
    <cellStyle name="Percentá 2 79 3 2" xfId="11092"/>
    <cellStyle name="Percentá 2 79 3 3" xfId="17247"/>
    <cellStyle name="Percentá 2 79 3 4" xfId="23374"/>
    <cellStyle name="percentá 2 8" xfId="459"/>
    <cellStyle name="percentá 2 8 2" xfId="4828"/>
    <cellStyle name="percentá 2 8 2 2" xfId="7873"/>
    <cellStyle name="percentá 2 8 2 2 2" xfId="14115"/>
    <cellStyle name="percentá 2 8 2 2 3" xfId="20270"/>
    <cellStyle name="percentá 2 8 2 2 4" xfId="26397"/>
    <cellStyle name="percentá 2 8 2 3" xfId="11028"/>
    <cellStyle name="percentá 2 8 2 4" xfId="17186"/>
    <cellStyle name="percentá 2 8 2 5" xfId="23314"/>
    <cellStyle name="Percentá 2 80" xfId="4829"/>
    <cellStyle name="Percentá 2 80 2" xfId="7874"/>
    <cellStyle name="Percentá 2 80 2 2" xfId="14116"/>
    <cellStyle name="Percentá 2 80 2 3" xfId="20271"/>
    <cellStyle name="Percentá 2 80 2 4" xfId="26398"/>
    <cellStyle name="Percentá 2 80 3" xfId="11029"/>
    <cellStyle name="Percentá 2 80 4" xfId="17187"/>
    <cellStyle name="Percentá 2 80 5" xfId="23315"/>
    <cellStyle name="Percentá 2 81" xfId="4830"/>
    <cellStyle name="Percentá 2 81 2" xfId="7875"/>
    <cellStyle name="Percentá 2 81 2 2" xfId="14117"/>
    <cellStyle name="Percentá 2 81 2 3" xfId="20272"/>
    <cellStyle name="Percentá 2 81 2 4" xfId="26399"/>
    <cellStyle name="Percentá 2 81 3" xfId="11030"/>
    <cellStyle name="Percentá 2 81 4" xfId="17188"/>
    <cellStyle name="Percentá 2 81 5" xfId="23316"/>
    <cellStyle name="Percentá 2 82" xfId="4831"/>
    <cellStyle name="Percentá 2 82 2" xfId="7876"/>
    <cellStyle name="Percentá 2 82 2 2" xfId="14118"/>
    <cellStyle name="Percentá 2 82 2 3" xfId="20273"/>
    <cellStyle name="Percentá 2 82 2 4" xfId="26400"/>
    <cellStyle name="Percentá 2 82 3" xfId="11031"/>
    <cellStyle name="Percentá 2 82 4" xfId="17189"/>
    <cellStyle name="Percentá 2 82 5" xfId="23317"/>
    <cellStyle name="Percentá 2 83" xfId="4832"/>
    <cellStyle name="Percentá 2 83 2" xfId="7877"/>
    <cellStyle name="Percentá 2 83 2 2" xfId="14119"/>
    <cellStyle name="Percentá 2 83 2 3" xfId="20274"/>
    <cellStyle name="Percentá 2 83 2 4" xfId="26401"/>
    <cellStyle name="Percentá 2 83 3" xfId="11032"/>
    <cellStyle name="Percentá 2 83 4" xfId="17190"/>
    <cellStyle name="Percentá 2 83 5" xfId="23318"/>
    <cellStyle name="Percentá 2 84" xfId="4833"/>
    <cellStyle name="Percentá 2 84 2" xfId="7878"/>
    <cellStyle name="Percentá 2 84 2 2" xfId="14120"/>
    <cellStyle name="Percentá 2 84 2 3" xfId="20275"/>
    <cellStyle name="Percentá 2 84 2 4" xfId="26402"/>
    <cellStyle name="Percentá 2 84 3" xfId="11033"/>
    <cellStyle name="Percentá 2 84 4" xfId="17191"/>
    <cellStyle name="Percentá 2 84 5" xfId="23319"/>
    <cellStyle name="Percentá 2 85" xfId="4834"/>
    <cellStyle name="Percentá 2 85 2" xfId="7879"/>
    <cellStyle name="Percentá 2 85 2 2" xfId="14121"/>
    <cellStyle name="Percentá 2 85 2 3" xfId="20276"/>
    <cellStyle name="Percentá 2 85 2 4" xfId="26403"/>
    <cellStyle name="Percentá 2 85 3" xfId="11034"/>
    <cellStyle name="Percentá 2 85 4" xfId="17192"/>
    <cellStyle name="Percentá 2 85 5" xfId="23320"/>
    <cellStyle name="Percentá 2 86" xfId="4835"/>
    <cellStyle name="Percentá 2 86 2" xfId="7880"/>
    <cellStyle name="Percentá 2 86 2 2" xfId="14122"/>
    <cellStyle name="Percentá 2 86 2 3" xfId="20277"/>
    <cellStyle name="Percentá 2 86 2 4" xfId="26404"/>
    <cellStyle name="Percentá 2 86 3" xfId="11035"/>
    <cellStyle name="Percentá 2 86 4" xfId="17193"/>
    <cellStyle name="Percentá 2 86 5" xfId="23321"/>
    <cellStyle name="percentá 2 9" xfId="460"/>
    <cellStyle name="percentá 2 9 2" xfId="4836"/>
    <cellStyle name="percentá 2 9 2 2" xfId="7881"/>
    <cellStyle name="percentá 2 9 2 2 2" xfId="14123"/>
    <cellStyle name="percentá 2 9 2 2 3" xfId="20278"/>
    <cellStyle name="percentá 2 9 2 2 4" xfId="26405"/>
    <cellStyle name="percentá 2 9 2 3" xfId="11036"/>
    <cellStyle name="percentá 2 9 2 4" xfId="17194"/>
    <cellStyle name="percentá 2 9 2 5" xfId="23322"/>
    <cellStyle name="percentá 3" xfId="851"/>
    <cellStyle name="percentá 3 10" xfId="4838"/>
    <cellStyle name="percentá 3 10 2" xfId="7883"/>
    <cellStyle name="percentá 3 10 2 2" xfId="14125"/>
    <cellStyle name="percentá 3 10 2 3" xfId="20280"/>
    <cellStyle name="percentá 3 10 2 4" xfId="26407"/>
    <cellStyle name="percentá 3 10 3" xfId="11038"/>
    <cellStyle name="percentá 3 10 4" xfId="17196"/>
    <cellStyle name="percentá 3 10 5" xfId="23324"/>
    <cellStyle name="percentá 3 11" xfId="4837"/>
    <cellStyle name="percentá 3 11 2" xfId="7882"/>
    <cellStyle name="percentá 3 11 2 2" xfId="14124"/>
    <cellStyle name="percentá 3 11 2 3" xfId="20279"/>
    <cellStyle name="percentá 3 11 2 4" xfId="26406"/>
    <cellStyle name="percentá 3 11 3" xfId="11037"/>
    <cellStyle name="percentá 3 11 4" xfId="17195"/>
    <cellStyle name="percentá 3 11 5" xfId="23323"/>
    <cellStyle name="percentá 3 12" xfId="5176"/>
    <cellStyle name="percentá 3 12 2" xfId="11419"/>
    <cellStyle name="percentá 3 12 3" xfId="17574"/>
    <cellStyle name="percentá 3 12 4" xfId="23701"/>
    <cellStyle name="percentá 3 13" xfId="8333"/>
    <cellStyle name="percentá 3 14" xfId="15060"/>
    <cellStyle name="percentá 3 15" xfId="20516"/>
    <cellStyle name="Percentá 3 2" xfId="1841"/>
    <cellStyle name="Percentá 3 2 2" xfId="4839"/>
    <cellStyle name="Percentá 3 2 2 2" xfId="7884"/>
    <cellStyle name="Percentá 3 2 2 2 2" xfId="14126"/>
    <cellStyle name="Percentá 3 2 2 2 3" xfId="20281"/>
    <cellStyle name="Percentá 3 2 2 2 4" xfId="26408"/>
    <cellStyle name="Percentá 3 2 2 3" xfId="11039"/>
    <cellStyle name="Percentá 3 2 2 4" xfId="17197"/>
    <cellStyle name="Percentá 3 2 2 5" xfId="23325"/>
    <cellStyle name="percentá 3 3" xfId="1712"/>
    <cellStyle name="percentá 3 3 2" xfId="4841"/>
    <cellStyle name="percentá 3 3 2 2" xfId="7886"/>
    <cellStyle name="percentá 3 3 2 2 2" xfId="14128"/>
    <cellStyle name="percentá 3 3 2 2 3" xfId="20283"/>
    <cellStyle name="percentá 3 3 2 2 4" xfId="26410"/>
    <cellStyle name="percentá 3 3 2 3" xfId="11041"/>
    <cellStyle name="percentá 3 3 2 4" xfId="17199"/>
    <cellStyle name="percentá 3 3 2 5" xfId="23327"/>
    <cellStyle name="percentá 3 3 3" xfId="4840"/>
    <cellStyle name="percentá 3 3 3 2" xfId="7885"/>
    <cellStyle name="percentá 3 3 3 2 2" xfId="14127"/>
    <cellStyle name="percentá 3 3 3 2 3" xfId="20282"/>
    <cellStyle name="percentá 3 3 3 2 4" xfId="26409"/>
    <cellStyle name="percentá 3 3 3 3" xfId="11040"/>
    <cellStyle name="percentá 3 3 3 4" xfId="17198"/>
    <cellStyle name="percentá 3 3 3 5" xfId="23326"/>
    <cellStyle name="percentá 3 3 4" xfId="5277"/>
    <cellStyle name="percentá 3 3 4 2" xfId="11519"/>
    <cellStyle name="percentá 3 3 4 3" xfId="17674"/>
    <cellStyle name="percentá 3 3 4 4" xfId="23801"/>
    <cellStyle name="percentá 3 3 5" xfId="8433"/>
    <cellStyle name="percentá 3 3 6" xfId="15061"/>
    <cellStyle name="percentá 3 3 7" xfId="20614"/>
    <cellStyle name="percentá 3 4" xfId="1643"/>
    <cellStyle name="percentá 3 4 2" xfId="4843"/>
    <cellStyle name="percentá 3 4 2 2" xfId="7888"/>
    <cellStyle name="percentá 3 4 2 2 2" xfId="14130"/>
    <cellStyle name="percentá 3 4 2 2 3" xfId="20285"/>
    <cellStyle name="percentá 3 4 2 2 4" xfId="26412"/>
    <cellStyle name="percentá 3 4 2 3" xfId="11043"/>
    <cellStyle name="percentá 3 4 2 4" xfId="17201"/>
    <cellStyle name="percentá 3 4 2 5" xfId="23329"/>
    <cellStyle name="percentá 3 4 3" xfId="4842"/>
    <cellStyle name="percentá 3 4 3 2" xfId="7887"/>
    <cellStyle name="percentá 3 4 3 2 2" xfId="14129"/>
    <cellStyle name="percentá 3 4 3 2 3" xfId="20284"/>
    <cellStyle name="percentá 3 4 3 2 4" xfId="26411"/>
    <cellStyle name="percentá 3 4 3 3" xfId="11042"/>
    <cellStyle name="percentá 3 4 3 4" xfId="17200"/>
    <cellStyle name="percentá 3 4 3 5" xfId="23328"/>
    <cellStyle name="percentá 3 4 4" xfId="5265"/>
    <cellStyle name="percentá 3 4 4 2" xfId="11507"/>
    <cellStyle name="percentá 3 4 4 3" xfId="17662"/>
    <cellStyle name="percentá 3 4 4 4" xfId="23789"/>
    <cellStyle name="percentá 3 4 5" xfId="8421"/>
    <cellStyle name="percentá 3 4 6" xfId="15062"/>
    <cellStyle name="percentá 3 4 7" xfId="20602"/>
    <cellStyle name="Percentá 3 5" xfId="1842"/>
    <cellStyle name="Percentá 3 6" xfId="1824"/>
    <cellStyle name="Percentá 3 7" xfId="1496"/>
    <cellStyle name="Percentá 3 8" xfId="1577"/>
    <cellStyle name="Percentá 3 9" xfId="1752"/>
    <cellStyle name="Percentá 4" xfId="1881"/>
    <cellStyle name="Percentá 4 2" xfId="1839"/>
    <cellStyle name="Percentá 4 2 2" xfId="4844"/>
    <cellStyle name="Percentá 4 2 2 2" xfId="7889"/>
    <cellStyle name="Percentá 4 2 2 2 2" xfId="14131"/>
    <cellStyle name="Percentá 4 2 2 2 3" xfId="20286"/>
    <cellStyle name="Percentá 4 2 2 2 4" xfId="26413"/>
    <cellStyle name="Percentá 4 2 2 3" xfId="11044"/>
    <cellStyle name="Percentá 4 2 2 4" xfId="17202"/>
    <cellStyle name="Percentá 4 2 2 5" xfId="23330"/>
    <cellStyle name="Percentá 4 3" xfId="1450"/>
    <cellStyle name="Percentá 4 4" xfId="1437"/>
    <cellStyle name="Percentá 4 5" xfId="4845"/>
    <cellStyle name="Percentá 4 5 2" xfId="7890"/>
    <cellStyle name="Percentá 4 5 2 2" xfId="14132"/>
    <cellStyle name="Percentá 4 5 2 3" xfId="20287"/>
    <cellStyle name="Percentá 4 5 2 4" xfId="26414"/>
    <cellStyle name="Percentá 4 5 3" xfId="11045"/>
    <cellStyle name="Percentá 4 5 4" xfId="17203"/>
    <cellStyle name="Percentá 4 5 5" xfId="23331"/>
    <cellStyle name="Percentá 5" xfId="1516"/>
    <cellStyle name="Percentá 5 2" xfId="1715"/>
    <cellStyle name="Percentá 5 3" xfId="1497"/>
    <cellStyle name="Percentá 6" xfId="1654"/>
    <cellStyle name="položka" xfId="23"/>
    <cellStyle name="položka 2" xfId="24"/>
    <cellStyle name="položka1" xfId="25"/>
    <cellStyle name="položka1 2" xfId="827"/>
    <cellStyle name="položka1 3" xfId="200"/>
    <cellStyle name="Pourcentage [2]" xfId="631"/>
    <cellStyle name="Poznámka" xfId="632" builtinId="10" customBuiltin="1"/>
    <cellStyle name="Poznámka 10" xfId="1123"/>
    <cellStyle name="Poznámka 11" xfId="1124"/>
    <cellStyle name="Poznámka 12" xfId="1125"/>
    <cellStyle name="Poznámka 13" xfId="1126"/>
    <cellStyle name="Poznámka 14" xfId="1429"/>
    <cellStyle name="Poznámka 15" xfId="2574"/>
    <cellStyle name="Poznámka 2" xfId="332"/>
    <cellStyle name="Poznámka 2 2" xfId="1731"/>
    <cellStyle name="Poznámka 2 3" xfId="1127"/>
    <cellStyle name="Poznámka 2 4" xfId="4847"/>
    <cellStyle name="Poznámka 2 4 2" xfId="7892"/>
    <cellStyle name="Poznámka 2 4 2 2" xfId="14134"/>
    <cellStyle name="Poznámka 2 4 2 3" xfId="20289"/>
    <cellStyle name="Poznámka 2 4 2 4" xfId="26416"/>
    <cellStyle name="Poznámka 2 4 3" xfId="11047"/>
    <cellStyle name="Poznámka 2 4 4" xfId="17205"/>
    <cellStyle name="Poznámka 2 4 5" xfId="23333"/>
    <cellStyle name="Poznámka 2 5" xfId="4846"/>
    <cellStyle name="Poznámka 2 5 2" xfId="7891"/>
    <cellStyle name="Poznámka 2 5 2 2" xfId="14133"/>
    <cellStyle name="Poznámka 2 5 2 3" xfId="20288"/>
    <cellStyle name="Poznámka 2 5 2 4" xfId="26415"/>
    <cellStyle name="Poznámka 2 5 3" xfId="11046"/>
    <cellStyle name="Poznámka 2 5 4" xfId="17204"/>
    <cellStyle name="Poznámka 2 5 5" xfId="23332"/>
    <cellStyle name="Poznámka 2 6" xfId="5072"/>
    <cellStyle name="Poznámka 2 6 2" xfId="11315"/>
    <cellStyle name="Poznámka 2 6 3" xfId="17470"/>
    <cellStyle name="Poznámka 2 6 4" xfId="23597"/>
    <cellStyle name="Poznámka 2 7" xfId="8229"/>
    <cellStyle name="Poznámka 2 8" xfId="15063"/>
    <cellStyle name="Poznámka 2 9" xfId="20417"/>
    <cellStyle name="Poznámka 3" xfId="1128"/>
    <cellStyle name="Poznámka 3 2" xfId="1903"/>
    <cellStyle name="Poznámka 4" xfId="1129"/>
    <cellStyle name="Poznámka 5" xfId="1130"/>
    <cellStyle name="Poznámka 6" xfId="1131"/>
    <cellStyle name="Poznámka 7" xfId="1132"/>
    <cellStyle name="Poznámka 8" xfId="1133"/>
    <cellStyle name="Poznámka 9" xfId="1134"/>
    <cellStyle name="Preliminary_Data" xfId="633"/>
    <cellStyle name="Prepojená bunka" xfId="634" builtinId="24" customBuiltin="1"/>
    <cellStyle name="Prepojená bunka 2" xfId="1630"/>
    <cellStyle name="Prepojená bunka 3" xfId="2575"/>
    <cellStyle name="Prices_Data" xfId="635"/>
    <cellStyle name="procent 2" xfId="461"/>
    <cellStyle name="procent 2 2" xfId="1400"/>
    <cellStyle name="procent 2 3" xfId="1653"/>
    <cellStyle name="Propojená buňka" xfId="636"/>
    <cellStyle name="Propojená buňka 2" xfId="1135"/>
    <cellStyle name="Propojená buňka 3" xfId="1873"/>
    <cellStyle name="Punto0 - Modelo1" xfId="637"/>
    <cellStyle name="Rappel" xfId="638"/>
    <cellStyle name="Result" xfId="307"/>
    <cellStyle name="Result 2" xfId="1488"/>
    <cellStyle name="Result 3" xfId="1445"/>
    <cellStyle name="Result2" xfId="308"/>
    <cellStyle name="Result2 2" xfId="1781"/>
    <cellStyle name="Result2 3" xfId="1847"/>
    <cellStyle name="RevList" xfId="1475"/>
    <cellStyle name="Saisie" xfId="639"/>
    <cellStyle name="SAPBEXaggData" xfId="640"/>
    <cellStyle name="SAPBEXaggData 2" xfId="1642"/>
    <cellStyle name="SAPBEXaggData 2 2" xfId="1911"/>
    <cellStyle name="SAPBEXaggData 2 3" xfId="1478"/>
    <cellStyle name="SAPBEXaggData 3" xfId="1531"/>
    <cellStyle name="SAPBEXaggData 3 2" xfId="1594"/>
    <cellStyle name="SAPBEXaggData 3 3" xfId="1427"/>
    <cellStyle name="SAPBEXaggData 4" xfId="1694"/>
    <cellStyle name="SAPBEXaggData 4 2" xfId="1954"/>
    <cellStyle name="SAPBEXaggData 4 3" xfId="1621"/>
    <cellStyle name="SAPBEXaggData 5" xfId="1560"/>
    <cellStyle name="SAPBEXaggData 6" xfId="1675"/>
    <cellStyle name="SAPBEXaggData 7" xfId="1384"/>
    <cellStyle name="SAPBEXaggDataEmph" xfId="641"/>
    <cellStyle name="SAPBEXaggItem" xfId="642"/>
    <cellStyle name="SAPBEXaggItemX" xfId="643"/>
    <cellStyle name="SAPBEXaggItemX 2" xfId="1737"/>
    <cellStyle name="SAPBEXaggItemX 2 2" xfId="1464"/>
    <cellStyle name="SAPBEXaggItemX 2 3" xfId="1806"/>
    <cellStyle name="SAPBEXaggItemX 3" xfId="1797"/>
    <cellStyle name="SAPBEXaggItemX 3 2" xfId="1498"/>
    <cellStyle name="SAPBEXaggItemX 3 3" xfId="1840"/>
    <cellStyle name="SAPBEXaggItemX 4" xfId="1554"/>
    <cellStyle name="SAPBEXaggItemX 4 2" xfId="1606"/>
    <cellStyle name="SAPBEXaggItemX 4 3" xfId="1933"/>
    <cellStyle name="SAPBEXaggItemX 5" xfId="1515"/>
    <cellStyle name="SAPBEXaggItemX 6" xfId="1932"/>
    <cellStyle name="SAPBEXaggItemX 7" xfId="1590"/>
    <cellStyle name="SAPBEXexcBad7" xfId="644"/>
    <cellStyle name="SAPBEXexcBad8" xfId="645"/>
    <cellStyle name="SAPBEXexcBad9" xfId="646"/>
    <cellStyle name="SAPBEXexcCritical4" xfId="647"/>
    <cellStyle name="SAPBEXexcCritical5" xfId="648"/>
    <cellStyle name="SAPBEXexcCritical6" xfId="649"/>
    <cellStyle name="SAPBEXexcGood1" xfId="650"/>
    <cellStyle name="SAPBEXexcGood2" xfId="651"/>
    <cellStyle name="SAPBEXexcGood3" xfId="652"/>
    <cellStyle name="SAPBEXfilterDrill" xfId="653"/>
    <cellStyle name="SAPBEXfilterItem" xfId="654"/>
    <cellStyle name="SAPBEXfilterText" xfId="655"/>
    <cellStyle name="SAPBEXformats" xfId="656"/>
    <cellStyle name="SAPBEXheaderItem" xfId="657"/>
    <cellStyle name="SAPBEXheaderText" xfId="658"/>
    <cellStyle name="SAPBEXHLevel0" xfId="659"/>
    <cellStyle name="SAPBEXHLevel0 2" xfId="1490"/>
    <cellStyle name="SAPBEXHLevel0 2 2" xfId="1713"/>
    <cellStyle name="SAPBEXHLevel0 2 3" xfId="1513"/>
    <cellStyle name="SAPBEXHLevel0 3" xfId="1391"/>
    <cellStyle name="SAPBEXHLevel0 3 2" xfId="1536"/>
    <cellStyle name="SAPBEXHLevel0 3 3" xfId="1926"/>
    <cellStyle name="SAPBEXHLevel0 4" xfId="1631"/>
    <cellStyle name="SAPBEXHLevel0 4 2" xfId="1378"/>
    <cellStyle name="SAPBEXHLevel0 4 3" xfId="1743"/>
    <cellStyle name="SAPBEXHLevel0 5" xfId="1686"/>
    <cellStyle name="SAPBEXHLevel0 6" xfId="1749"/>
    <cellStyle name="SAPBEXHLevel0 7" xfId="1381"/>
    <cellStyle name="SAPBEXHLevel0X" xfId="660"/>
    <cellStyle name="SAPBEXHLevel1" xfId="661"/>
    <cellStyle name="SAPBEXHLevel1 2" xfId="1553"/>
    <cellStyle name="SAPBEXHLevel1 2 2" xfId="1909"/>
    <cellStyle name="SAPBEXHLevel1 2 3" xfId="1684"/>
    <cellStyle name="SAPBEXHLevel1 3" xfId="1790"/>
    <cellStyle name="SAPBEXHLevel1 3 2" xfId="1460"/>
    <cellStyle name="SAPBEXHLevel1 3 3" xfId="1735"/>
    <cellStyle name="SAPBEXHLevel1 4" xfId="1730"/>
    <cellStyle name="SAPBEXHLevel1 4 2" xfId="1566"/>
    <cellStyle name="SAPBEXHLevel1 4 3" xfId="1826"/>
    <cellStyle name="SAPBEXHLevel1 5" xfId="1888"/>
    <cellStyle name="SAPBEXHLevel1 6" xfId="1669"/>
    <cellStyle name="SAPBEXHLevel1 7" xfId="1409"/>
    <cellStyle name="SAPBEXHLevel1X" xfId="662"/>
    <cellStyle name="SAPBEXHLevel2" xfId="663"/>
    <cellStyle name="SAPBEXHLevel2X" xfId="664"/>
    <cellStyle name="SAPBEXHLevel3" xfId="665"/>
    <cellStyle name="SAPBEXHLevel3X" xfId="666"/>
    <cellStyle name="SAPBEXchaText" xfId="667"/>
    <cellStyle name="SAPBEXchaText 2" xfId="1444"/>
    <cellStyle name="SAPBEXresData" xfId="668"/>
    <cellStyle name="SAPBEXresDataEmph" xfId="669"/>
    <cellStyle name="SAPBEXresItem" xfId="670"/>
    <cellStyle name="SAPBEXresItemX" xfId="671"/>
    <cellStyle name="SAPBEXstdData" xfId="672"/>
    <cellStyle name="SAPBEXstdData 2" xfId="1887"/>
    <cellStyle name="SAPBEXstdData 2 2" xfId="1667"/>
    <cellStyle name="SAPBEXstdData 2 3" xfId="1893"/>
    <cellStyle name="SAPBEXstdData 3" xfId="1639"/>
    <cellStyle name="SAPBEXstdData 3 2" xfId="1388"/>
    <cellStyle name="SAPBEXstdData 3 3" xfId="1592"/>
    <cellStyle name="SAPBEXstdData 4" xfId="1676"/>
    <cellStyle name="SAPBEXstdData 4 2" xfId="1876"/>
    <cellStyle name="SAPBEXstdData 4 3" xfId="1580"/>
    <cellStyle name="SAPBEXstdData 5" xfId="1572"/>
    <cellStyle name="SAPBEXstdData 6" xfId="1733"/>
    <cellStyle name="SAPBEXstdData 7" xfId="1769"/>
    <cellStyle name="SAPBEXstdDataEmph" xfId="673"/>
    <cellStyle name="SAPBEXstdItem" xfId="674"/>
    <cellStyle name="SAPBEXstdItemX" xfId="675"/>
    <cellStyle name="SAPBEXstdItemX 2" xfId="1665"/>
    <cellStyle name="SAPBEXstdItemX 2 2" xfId="1720"/>
    <cellStyle name="SAPBEXstdItemX 2 3" xfId="1489"/>
    <cellStyle name="SAPBEXstdItemX 3" xfId="1589"/>
    <cellStyle name="SAPBEXstdItemX 3 2" xfId="1725"/>
    <cellStyle name="SAPBEXstdItemX 3 3" xfId="1499"/>
    <cellStyle name="SAPBEXstdItemX 4" xfId="1930"/>
    <cellStyle name="SAPBEXstdItemX 4 2" xfId="1863"/>
    <cellStyle name="SAPBEXstdItemX 4 3" xfId="1385"/>
    <cellStyle name="SAPBEXstdItemX 5" xfId="1915"/>
    <cellStyle name="SAPBEXstdItemX 6" xfId="1696"/>
    <cellStyle name="SAPBEXstdItemX 7" xfId="1517"/>
    <cellStyle name="SAPBEXtitle" xfId="676"/>
    <cellStyle name="SAPBEXundefined" xfId="677"/>
    <cellStyle name="Satisfaisant" xfId="678"/>
    <cellStyle name="SectionHeaderNormal" xfId="1883"/>
    <cellStyle name="Separador de milhares [0]_Budget 2003" xfId="679"/>
    <cellStyle name="Separador de milhares_Autres Domaines A1 2007" xfId="680"/>
    <cellStyle name="Single Cell Column Heading" xfId="1698"/>
    <cellStyle name="Sortie" xfId="681"/>
    <cellStyle name="Spolu" xfId="26"/>
    <cellStyle name="Spolu 2" xfId="1457"/>
    <cellStyle name="Spolu 3" xfId="1582"/>
    <cellStyle name="Spolu 4" xfId="1492"/>
    <cellStyle name="Spolu 5" xfId="2576"/>
    <cellStyle name="Spolu 6" xfId="8026"/>
    <cellStyle name="Spolu 7" xfId="14183"/>
    <cellStyle name="Správně" xfId="682"/>
    <cellStyle name="Správně 2" xfId="1136"/>
    <cellStyle name="Správně 3" xfId="1509"/>
    <cellStyle name="Standard_22.–26.9." xfId="1636"/>
    <cellStyle name="Styl 1" xfId="683"/>
    <cellStyle name="Styl 1 2" xfId="1702"/>
    <cellStyle name="Styl 2" xfId="684"/>
    <cellStyle name="Style 1" xfId="685"/>
    <cellStyle name="Style 2" xfId="1821"/>
    <cellStyle name="SubHeading" xfId="686"/>
    <cellStyle name="SubScript" xfId="1574"/>
    <cellStyle name="Subtotal" xfId="1568"/>
    <cellStyle name="SuperScript" xfId="1451"/>
    <cellStyle name="Štýl 1" xfId="1811"/>
    <cellStyle name="Text Level 1" xfId="1440"/>
    <cellStyle name="Text Level 2" xfId="1776"/>
    <cellStyle name="Text upozornění" xfId="687"/>
    <cellStyle name="Text upozornění 2" xfId="1137"/>
    <cellStyle name="Text upozornění 3" xfId="1853"/>
    <cellStyle name="Text upozornenia" xfId="27"/>
    <cellStyle name="Text upozornenia 2" xfId="1775"/>
    <cellStyle name="Text upozornenia 3" xfId="2577"/>
    <cellStyle name="Text upozornenia 4" xfId="8027"/>
    <cellStyle name="Text upozornenia 5" xfId="14184"/>
    <cellStyle name="TextBold" xfId="1836"/>
    <cellStyle name="Texte explicatif" xfId="688"/>
    <cellStyle name="TextItalic" xfId="1641"/>
    <cellStyle name="TextNormal" xfId="1545"/>
    <cellStyle name="Title 2" xfId="1138"/>
    <cellStyle name="Title 3" xfId="8028"/>
    <cellStyle name="TitleNormal" xfId="1434"/>
    <cellStyle name="Titre" xfId="689"/>
    <cellStyle name="Titre colonnes" xfId="690"/>
    <cellStyle name="Titre général" xfId="691"/>
    <cellStyle name="Titre lignes" xfId="692"/>
    <cellStyle name="Titre page" xfId="693"/>
    <cellStyle name="titre sections" xfId="694"/>
    <cellStyle name="Titre 1" xfId="695"/>
    <cellStyle name="Titre 2" xfId="696"/>
    <cellStyle name="Titre 3" xfId="697"/>
    <cellStyle name="Titre 4" xfId="698"/>
    <cellStyle name="titre_comparison of the costs" xfId="699"/>
    <cellStyle name="titre2" xfId="700"/>
    <cellStyle name="titre3" xfId="701"/>
    <cellStyle name="Titul" xfId="702" builtinId="15" customBuiltin="1"/>
    <cellStyle name="Titul 2" xfId="1495"/>
    <cellStyle name="Titul 3" xfId="2578"/>
    <cellStyle name="Total 2" xfId="166"/>
    <cellStyle name="Total 2 2" xfId="1139"/>
    <cellStyle name="Total 3" xfId="167"/>
    <cellStyle name="transfert" xfId="703"/>
    <cellStyle name="Valuta (0)_95-94 cit" xfId="704"/>
    <cellStyle name="Valuta_autresactiviteitalie" xfId="705"/>
    <cellStyle name="Vehicle_Benchmark" xfId="706"/>
    <cellStyle name="Vérification" xfId="707"/>
    <cellStyle name="Version_Header" xfId="708"/>
    <cellStyle name="Vírgula_Budget 2003" xfId="709"/>
    <cellStyle name="Virgule fixe" xfId="710"/>
    <cellStyle name="Volume" xfId="711"/>
    <cellStyle name="Volumes_Data" xfId="712"/>
    <cellStyle name="Vstup" xfId="713" builtinId="20" customBuiltin="1"/>
    <cellStyle name="Vstup 2" xfId="1859"/>
    <cellStyle name="Vstup 3" xfId="1375"/>
    <cellStyle name="Vstup 4" xfId="1507"/>
    <cellStyle name="Vstup 5" xfId="2581"/>
    <cellStyle name="Výpočet" xfId="714" builtinId="22" customBuiltin="1"/>
    <cellStyle name="Výpočet 2" xfId="1537"/>
    <cellStyle name="Výpočet 3" xfId="1632"/>
    <cellStyle name="Výpočet 4" xfId="1884"/>
    <cellStyle name="Výpočet 5" xfId="2579"/>
    <cellStyle name="Výstup" xfId="715" builtinId="21" customBuiltin="1"/>
    <cellStyle name="Výstup 2" xfId="1682"/>
    <cellStyle name="Výstup 3" xfId="1604"/>
    <cellStyle name="Výstup 4" xfId="1798"/>
    <cellStyle name="Výstup 5" xfId="2580"/>
    <cellStyle name="Vysvětlující text" xfId="716"/>
    <cellStyle name="Vysvětlující text 2" xfId="1140"/>
    <cellStyle name="Vysvětlující text 3" xfId="1703"/>
    <cellStyle name="Vysvetľujúci text" xfId="717" builtinId="53" customBuiltin="1"/>
    <cellStyle name="Vysvetľujúci text 2" xfId="1865"/>
    <cellStyle name="Vysvetľujúci text 3" xfId="2582"/>
    <cellStyle name="Walutowy [0]_analiza mixu budget 2003" xfId="718"/>
    <cellStyle name="Walutowy_analiza mixu budget 2003" xfId="719"/>
    <cellStyle name="Warning Text 2" xfId="168"/>
    <cellStyle name="Warning Text 2 2" xfId="1141"/>
    <cellStyle name="Warning Text 3" xfId="169"/>
    <cellStyle name="Währung [0]_Abfrage0" xfId="720"/>
    <cellStyle name="Währung_Abfrage0" xfId="721"/>
    <cellStyle name="YN" xfId="722"/>
    <cellStyle name="Zlá" xfId="723" builtinId="27" customBuiltin="1"/>
    <cellStyle name="Zlá 2" xfId="1953"/>
    <cellStyle name="Zlá 3" xfId="2583"/>
    <cellStyle name="Zvýraznění 1" xfId="724"/>
    <cellStyle name="Zvýraznění 1 2" xfId="1142"/>
    <cellStyle name="Zvýraznění 1 3" xfId="1587"/>
    <cellStyle name="Zvýraznění 2" xfId="725"/>
    <cellStyle name="Zvýraznění 2 2" xfId="1143"/>
    <cellStyle name="Zvýraznění 2 3" xfId="1586"/>
    <cellStyle name="Zvýraznění 3" xfId="726"/>
    <cellStyle name="Zvýraznění 3 2" xfId="1144"/>
    <cellStyle name="Zvýraznění 3 3" xfId="1944"/>
    <cellStyle name="Zvýraznění 4" xfId="727"/>
    <cellStyle name="Zvýraznění 4 2" xfId="1145"/>
    <cellStyle name="Zvýraznění 4 3" xfId="1906"/>
    <cellStyle name="Zvýraznění 5" xfId="728"/>
    <cellStyle name="Zvýraznění 5 2" xfId="1146"/>
    <cellStyle name="Zvýraznění 5 3" xfId="1446"/>
    <cellStyle name="Zvýraznění 6" xfId="729"/>
    <cellStyle name="Zvýraznění 6 2" xfId="1147"/>
    <cellStyle name="Zvýraznění 6 3" xfId="1773"/>
    <cellStyle name="Zvýraznenie1" xfId="730" builtinId="29" customBuiltin="1"/>
    <cellStyle name="Zvýraznenie1 2" xfId="1456"/>
    <cellStyle name="Zvýraznenie1 3" xfId="2584"/>
    <cellStyle name="Zvýraznenie2" xfId="731" builtinId="33" customBuiltin="1"/>
    <cellStyle name="Zvýraznenie2 2" xfId="1822"/>
    <cellStyle name="Zvýraznenie2 3" xfId="2585"/>
    <cellStyle name="Zvýraznenie3" xfId="732" builtinId="37" customBuiltin="1"/>
    <cellStyle name="Zvýraznenie3 2" xfId="1778"/>
    <cellStyle name="Zvýraznenie3 3" xfId="2586"/>
    <cellStyle name="Zvýraznenie4" xfId="733" builtinId="41" customBuiltin="1"/>
    <cellStyle name="Zvýraznenie4 2" xfId="1634"/>
    <cellStyle name="Zvýraznenie4 3" xfId="2587"/>
    <cellStyle name="Zvýraznenie5" xfId="734" builtinId="45" customBuiltin="1"/>
    <cellStyle name="Zvýraznenie5 2" xfId="1919"/>
    <cellStyle name="Zvýraznenie5 3" xfId="2588"/>
    <cellStyle name="Zvýraznenie6" xfId="735" builtinId="49" customBuiltin="1"/>
    <cellStyle name="Zvýraznenie6 2" xfId="1501"/>
    <cellStyle name="Zvýraznenie6 3" xfId="2589"/>
    <cellStyle name="千位[0]_laroux" xfId="736"/>
    <cellStyle name="千位_laroux" xfId="737"/>
    <cellStyle name="千位分隔_2006平衡计划01" xfId="738"/>
    <cellStyle name="千分位[0]_98利润表  (2)" xfId="739"/>
    <cellStyle name="千分位_laroux" xfId="740"/>
    <cellStyle name="常规_06 tableau de bord std(dec)" xfId="741"/>
    <cellStyle name="普通_9804" xfId="742"/>
    <cellStyle name="桁区切り_A1 forecast" xfId="743"/>
    <cellStyle name="標準_CAR FLOW 2004 84 for A3 20040907 &amp; BUDGET B2005 " xfId="744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O30"/>
  <sheetViews>
    <sheetView workbookViewId="0">
      <selection activeCell="C23" sqref="C23:D23"/>
    </sheetView>
  </sheetViews>
  <sheetFormatPr defaultRowHeight="15"/>
  <cols>
    <col min="1" max="1" width="3.85546875" style="191" customWidth="1"/>
    <col min="2" max="2" width="19.85546875" style="191" customWidth="1"/>
    <col min="3" max="3" width="11.85546875" style="191" customWidth="1"/>
    <col min="4" max="4" width="20.28515625" style="191" customWidth="1"/>
    <col min="5" max="5" width="3.28515625" style="191" customWidth="1"/>
    <col min="6" max="6" width="11.7109375" style="191" customWidth="1"/>
    <col min="7" max="7" width="3.42578125" style="191" customWidth="1"/>
    <col min="8" max="8" width="10.140625" style="191" customWidth="1"/>
    <col min="9" max="9" width="2.28515625" style="191" bestFit="1" customWidth="1"/>
    <col min="10" max="10" width="5" style="191" customWidth="1"/>
    <col min="11" max="11" width="9.140625" style="191"/>
    <col min="12" max="12" width="9.42578125" style="191" bestFit="1" customWidth="1"/>
    <col min="13" max="16384" width="9.140625" style="191"/>
  </cols>
  <sheetData>
    <row r="1" spans="2:15">
      <c r="B1" s="189"/>
      <c r="C1" s="188"/>
      <c r="D1" s="188"/>
      <c r="E1" s="188"/>
      <c r="F1" s="188"/>
      <c r="G1" s="188"/>
      <c r="H1" s="188"/>
      <c r="I1" s="188"/>
      <c r="J1" s="188"/>
      <c r="K1" s="154"/>
      <c r="L1" s="190"/>
    </row>
    <row r="2" spans="2:15">
      <c r="B2" s="192" t="s">
        <v>856</v>
      </c>
      <c r="C2" s="600" t="s">
        <v>2700</v>
      </c>
      <c r="D2" s="601"/>
      <c r="E2" s="601"/>
      <c r="F2" s="601"/>
      <c r="G2" s="601"/>
      <c r="H2" s="601"/>
      <c r="I2" s="188"/>
      <c r="K2" s="154"/>
      <c r="L2" s="190"/>
    </row>
    <row r="3" spans="2:15">
      <c r="B3" s="187" t="s">
        <v>857</v>
      </c>
      <c r="C3" s="194">
        <f>YEAR(C4)</f>
        <v>2014</v>
      </c>
      <c r="D3" s="188"/>
      <c r="E3" s="195" t="s">
        <v>902</v>
      </c>
      <c r="F3" s="188"/>
      <c r="G3" s="188"/>
      <c r="H3" s="196"/>
      <c r="I3" s="188"/>
      <c r="K3" s="154"/>
      <c r="L3" s="154"/>
      <c r="N3" s="193"/>
      <c r="O3" s="193"/>
    </row>
    <row r="4" spans="2:15">
      <c r="B4" s="187" t="s">
        <v>858</v>
      </c>
      <c r="C4" s="338">
        <v>41640</v>
      </c>
      <c r="D4" s="188"/>
      <c r="E4" s="339" t="s">
        <v>427</v>
      </c>
      <c r="F4" s="197" t="s">
        <v>890</v>
      </c>
      <c r="G4" s="341"/>
      <c r="H4" s="197" t="s">
        <v>1679</v>
      </c>
      <c r="I4" s="188"/>
      <c r="K4" s="188"/>
      <c r="L4" s="188"/>
      <c r="N4" s="198"/>
      <c r="O4" s="188"/>
    </row>
    <row r="5" spans="2:15">
      <c r="B5" s="187" t="s">
        <v>422</v>
      </c>
      <c r="C5" s="199" t="str">
        <f>CHOOSE(LEN(MONTH(C4)),"0"&amp;MONTH(C4),MONTH(C4))</f>
        <v>01</v>
      </c>
      <c r="D5" s="188"/>
      <c r="E5" s="340"/>
      <c r="F5" s="197" t="s">
        <v>424</v>
      </c>
      <c r="G5" s="341"/>
      <c r="H5" s="188" t="s">
        <v>1682</v>
      </c>
      <c r="I5" s="188"/>
      <c r="K5" s="188"/>
      <c r="L5" s="188"/>
      <c r="N5" s="188"/>
      <c r="O5" s="188"/>
    </row>
    <row r="6" spans="2:15">
      <c r="B6" s="187" t="s">
        <v>423</v>
      </c>
      <c r="C6" s="200">
        <f>YEAR(C4)</f>
        <v>2014</v>
      </c>
      <c r="D6" s="188"/>
      <c r="G6" s="197"/>
      <c r="H6" s="188"/>
      <c r="I6" s="188"/>
    </row>
    <row r="7" spans="2:15">
      <c r="B7" s="187" t="s">
        <v>859</v>
      </c>
      <c r="C7" s="338">
        <v>42004</v>
      </c>
      <c r="D7" s="188"/>
      <c r="E7" s="196"/>
      <c r="F7" s="201"/>
      <c r="G7" s="201"/>
      <c r="H7" s="188"/>
      <c r="I7" s="188"/>
    </row>
    <row r="8" spans="2:15">
      <c r="B8" s="187" t="s">
        <v>860</v>
      </c>
      <c r="C8" s="202" t="str">
        <f>DAY(C7)&amp;"."&amp;MONTH(C7)&amp;"."</f>
        <v>31.12.</v>
      </c>
      <c r="D8" s="188"/>
      <c r="E8" s="188"/>
      <c r="F8" s="188"/>
      <c r="G8" s="188"/>
      <c r="H8" s="188"/>
      <c r="I8" s="188"/>
    </row>
    <row r="9" spans="2:15">
      <c r="B9" s="187" t="s">
        <v>423</v>
      </c>
      <c r="C9" s="203" t="str">
        <f>RIGHT(YEAR(C7),2)</f>
        <v>14</v>
      </c>
      <c r="D9" s="188"/>
      <c r="E9" s="188"/>
      <c r="F9" s="188"/>
      <c r="G9" s="188"/>
      <c r="H9" s="188"/>
      <c r="I9" s="188"/>
      <c r="M9" s="204"/>
    </row>
    <row r="10" spans="2:15">
      <c r="B10" s="187" t="s">
        <v>422</v>
      </c>
      <c r="C10" s="199">
        <f>CHOOSE(LEN(MONTH(C7)),"0"&amp;MONTH(C7),MONTH(C7))</f>
        <v>12</v>
      </c>
      <c r="D10" s="205"/>
      <c r="E10" s="188"/>
      <c r="F10" s="188"/>
      <c r="G10" s="188"/>
      <c r="H10" s="188"/>
      <c r="I10" s="188"/>
      <c r="J10" s="188"/>
    </row>
    <row r="11" spans="2:15">
      <c r="B11" s="187" t="s">
        <v>423</v>
      </c>
      <c r="C11" s="200">
        <f>YEAR(C7)</f>
        <v>2014</v>
      </c>
      <c r="D11" s="200"/>
      <c r="E11" s="188"/>
      <c r="F11" s="188"/>
      <c r="G11" s="188"/>
      <c r="H11" s="188"/>
      <c r="I11" s="188"/>
      <c r="J11" s="188"/>
    </row>
    <row r="12" spans="2:15">
      <c r="B12" s="187" t="s">
        <v>861</v>
      </c>
      <c r="C12" s="194">
        <f>C3-1</f>
        <v>2013</v>
      </c>
      <c r="D12" s="188"/>
      <c r="E12" s="206"/>
      <c r="F12" s="197"/>
      <c r="G12" s="197"/>
      <c r="H12" s="188"/>
      <c r="I12" s="188"/>
    </row>
    <row r="13" spans="2:15">
      <c r="B13" s="187" t="s">
        <v>858</v>
      </c>
      <c r="C13" s="207"/>
      <c r="D13" s="188"/>
      <c r="E13" s="206"/>
      <c r="F13" s="197"/>
      <c r="G13" s="197"/>
      <c r="H13" s="188"/>
      <c r="I13" s="188"/>
    </row>
    <row r="14" spans="2:15">
      <c r="B14" s="187" t="s">
        <v>422</v>
      </c>
      <c r="C14" s="208" t="str">
        <f>C5</f>
        <v>01</v>
      </c>
      <c r="D14" s="188"/>
      <c r="E14" s="188"/>
      <c r="F14" s="188"/>
      <c r="G14" s="188"/>
      <c r="H14" s="188"/>
      <c r="I14" s="188"/>
    </row>
    <row r="15" spans="2:15">
      <c r="B15" s="187" t="s">
        <v>423</v>
      </c>
      <c r="C15" s="200">
        <f>C6-1</f>
        <v>2013</v>
      </c>
      <c r="D15" s="188"/>
      <c r="E15" s="188"/>
      <c r="F15" s="188"/>
      <c r="G15" s="188"/>
      <c r="H15" s="188"/>
      <c r="I15" s="188"/>
    </row>
    <row r="16" spans="2:15">
      <c r="B16" s="187" t="s">
        <v>859</v>
      </c>
      <c r="C16" s="207"/>
      <c r="D16" s="188"/>
      <c r="E16" s="188"/>
      <c r="F16" s="187"/>
      <c r="G16" s="187"/>
      <c r="H16" s="209"/>
      <c r="I16" s="188"/>
    </row>
    <row r="17" spans="2:9">
      <c r="B17" s="187" t="s">
        <v>422</v>
      </c>
      <c r="C17" s="199">
        <f>C10</f>
        <v>12</v>
      </c>
      <c r="D17" s="188"/>
      <c r="E17" s="188"/>
      <c r="F17" s="188"/>
      <c r="G17" s="188"/>
      <c r="H17" s="188"/>
      <c r="I17" s="188"/>
    </row>
    <row r="18" spans="2:9">
      <c r="B18" s="187" t="s">
        <v>423</v>
      </c>
      <c r="C18" s="200">
        <f>C11-1</f>
        <v>2013</v>
      </c>
      <c r="D18" s="188"/>
      <c r="E18" s="188"/>
      <c r="F18" s="188"/>
      <c r="G18" s="188"/>
      <c r="H18" s="188"/>
      <c r="I18" s="188"/>
    </row>
    <row r="19" spans="2:9">
      <c r="B19" s="187" t="s">
        <v>428</v>
      </c>
      <c r="C19" s="342">
        <v>37887335</v>
      </c>
      <c r="D19" s="188"/>
      <c r="E19" s="188"/>
      <c r="F19" s="188"/>
      <c r="G19" s="188"/>
      <c r="H19" s="188"/>
      <c r="I19" s="188"/>
    </row>
    <row r="20" spans="2:9">
      <c r="B20" s="187" t="s">
        <v>862</v>
      </c>
      <c r="C20" s="342">
        <v>37887335</v>
      </c>
      <c r="D20" s="188"/>
      <c r="E20" s="187"/>
      <c r="F20" s="188"/>
      <c r="G20" s="188"/>
      <c r="H20" s="188"/>
      <c r="I20" s="188"/>
    </row>
    <row r="21" spans="2:9">
      <c r="B21" s="187" t="s">
        <v>903</v>
      </c>
      <c r="C21" s="343"/>
      <c r="D21" s="188"/>
      <c r="E21" s="187"/>
      <c r="F21" s="188"/>
      <c r="G21" s="188"/>
      <c r="H21" s="188"/>
      <c r="I21" s="188"/>
    </row>
    <row r="22" spans="2:9">
      <c r="B22" s="187" t="s">
        <v>904</v>
      </c>
      <c r="C22" s="342" t="s">
        <v>1755</v>
      </c>
      <c r="D22" s="188"/>
      <c r="E22" s="187"/>
      <c r="F22" s="188"/>
      <c r="G22" s="188"/>
      <c r="H22" s="188"/>
      <c r="I22" s="188"/>
    </row>
    <row r="23" spans="2:9">
      <c r="B23" s="210" t="s">
        <v>1702</v>
      </c>
      <c r="C23" s="599" t="s">
        <v>3075</v>
      </c>
      <c r="D23" s="599"/>
      <c r="E23" s="188"/>
      <c r="F23" s="188"/>
      <c r="G23" s="188"/>
      <c r="H23" s="188"/>
      <c r="I23" s="188"/>
    </row>
    <row r="24" spans="2:9">
      <c r="B24" s="210" t="s">
        <v>1703</v>
      </c>
      <c r="C24" s="344">
        <v>7</v>
      </c>
      <c r="D24" s="348"/>
      <c r="E24" s="188"/>
      <c r="F24" s="188"/>
      <c r="G24" s="188"/>
      <c r="H24" s="188"/>
      <c r="I24" s="188"/>
    </row>
    <row r="25" spans="2:9">
      <c r="B25" s="211" t="s">
        <v>425</v>
      </c>
      <c r="C25" s="345" t="s">
        <v>3076</v>
      </c>
      <c r="D25" s="188"/>
      <c r="E25" s="188"/>
      <c r="F25" s="212"/>
      <c r="G25" s="212"/>
      <c r="H25" s="188"/>
      <c r="I25" s="188"/>
    </row>
    <row r="26" spans="2:9">
      <c r="B26" s="213" t="s">
        <v>863</v>
      </c>
      <c r="C26" s="344" t="s">
        <v>3077</v>
      </c>
      <c r="D26" s="188"/>
      <c r="E26" s="196"/>
      <c r="F26" s="188"/>
      <c r="G26" s="188"/>
      <c r="H26" s="188"/>
      <c r="I26" s="188"/>
    </row>
    <row r="27" spans="2:9">
      <c r="B27" s="211" t="s">
        <v>864</v>
      </c>
      <c r="C27" s="345"/>
      <c r="D27" s="214"/>
      <c r="E27" s="188"/>
      <c r="F27" s="188"/>
      <c r="G27" s="188"/>
      <c r="H27" s="188"/>
      <c r="I27" s="188"/>
    </row>
    <row r="28" spans="2:9">
      <c r="B28" s="196" t="s">
        <v>426</v>
      </c>
      <c r="C28" s="346"/>
      <c r="D28" s="188"/>
      <c r="E28" s="196"/>
      <c r="F28" s="188"/>
      <c r="G28" s="188"/>
      <c r="H28" s="188"/>
      <c r="I28" s="188"/>
    </row>
    <row r="29" spans="2:9">
      <c r="B29" s="196" t="s">
        <v>865</v>
      </c>
      <c r="C29" s="344"/>
      <c r="D29" s="188"/>
      <c r="E29" s="188"/>
      <c r="F29" s="188"/>
      <c r="G29" s="188"/>
      <c r="H29" s="188"/>
      <c r="I29" s="188"/>
    </row>
    <row r="30" spans="2:9">
      <c r="B30" s="196" t="s">
        <v>429</v>
      </c>
      <c r="C30" s="598"/>
      <c r="D30" s="598"/>
      <c r="E30" s="188"/>
      <c r="F30" s="188"/>
      <c r="G30" s="188"/>
      <c r="H30" s="188"/>
      <c r="I30" s="188"/>
    </row>
  </sheetData>
  <mergeCells count="3">
    <mergeCell ref="C30:D30"/>
    <mergeCell ref="C23:D23"/>
    <mergeCell ref="C2:H2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O355"/>
  <sheetViews>
    <sheetView topLeftCell="A2" zoomScale="90" zoomScaleNormal="90" workbookViewId="0">
      <pane ySplit="3" topLeftCell="A5" activePane="bottomLeft" state="frozen"/>
      <selection activeCell="A2" sqref="A2"/>
      <selection pane="bottomLeft" activeCell="G11" sqref="G11"/>
    </sheetView>
  </sheetViews>
  <sheetFormatPr defaultRowHeight="11.25"/>
  <cols>
    <col min="1" max="1" width="6.42578125" style="492" customWidth="1"/>
    <col min="2" max="2" width="14.7109375" style="492" customWidth="1"/>
    <col min="3" max="3" width="34.5703125" style="492" customWidth="1"/>
    <col min="4" max="4" width="12.85546875" style="492" customWidth="1"/>
    <col min="5" max="5" width="12.28515625" style="493" customWidth="1"/>
    <col min="6" max="6" width="9" style="493" customWidth="1"/>
    <col min="7" max="7" width="12.42578125" style="493" customWidth="1"/>
    <col min="8" max="8" width="12" style="493" bestFit="1" customWidth="1"/>
    <col min="9" max="9" width="11.28515625" style="493" customWidth="1"/>
    <col min="10" max="10" width="11.5703125" style="492" bestFit="1" customWidth="1"/>
    <col min="11" max="11" width="9.140625" style="492"/>
    <col min="12" max="12" width="11.5703125" style="492" customWidth="1"/>
    <col min="13" max="13" width="9.7109375" style="492" bestFit="1" customWidth="1"/>
    <col min="14" max="16384" width="9.140625" style="492"/>
  </cols>
  <sheetData>
    <row r="1" spans="1:12">
      <c r="G1" s="494" t="s">
        <v>1843</v>
      </c>
    </row>
    <row r="2" spans="1:12">
      <c r="B2" s="550" t="s">
        <v>2684</v>
      </c>
      <c r="D2" s="493">
        <f>SUM(D5:D82)</f>
        <v>4.2782630771398544E-9</v>
      </c>
      <c r="G2" s="494"/>
      <c r="H2" s="495" t="s">
        <v>1844</v>
      </c>
      <c r="I2" s="494">
        <v>-76486.59</v>
      </c>
      <c r="J2" s="493">
        <f>SUM(J5:J354)</f>
        <v>3.9317455957643688E-9</v>
      </c>
    </row>
    <row r="3" spans="1:12">
      <c r="D3" s="492" t="s">
        <v>1845</v>
      </c>
      <c r="G3" s="494"/>
      <c r="I3" s="493">
        <f>SUM(J83:J354)</f>
        <v>-76486.589999994976</v>
      </c>
      <c r="J3" s="496">
        <f>+I2-I3</f>
        <v>-5.0204107537865639E-9</v>
      </c>
    </row>
    <row r="4" spans="1:12" s="497" customFormat="1" ht="22.5">
      <c r="A4" s="497" t="s">
        <v>1217</v>
      </c>
      <c r="B4" s="498" t="s">
        <v>1846</v>
      </c>
      <c r="C4" s="498" t="s">
        <v>1847</v>
      </c>
      <c r="D4" s="499" t="s">
        <v>1848</v>
      </c>
      <c r="E4" s="500" t="s">
        <v>1849</v>
      </c>
      <c r="F4" s="500" t="s">
        <v>1762</v>
      </c>
      <c r="G4" s="500" t="s">
        <v>1850</v>
      </c>
      <c r="H4" s="500" t="s">
        <v>1851</v>
      </c>
      <c r="I4" s="500" t="s">
        <v>1852</v>
      </c>
      <c r="J4" s="501">
        <v>42004</v>
      </c>
      <c r="K4" s="502" t="s">
        <v>1759</v>
      </c>
      <c r="L4" s="503" t="s">
        <v>1760</v>
      </c>
    </row>
    <row r="5" spans="1:12">
      <c r="A5" s="492" t="str">
        <f>LEFT(B5,3)</f>
        <v>013</v>
      </c>
      <c r="B5" s="504" t="s">
        <v>1853</v>
      </c>
      <c r="C5" s="504" t="s">
        <v>1854</v>
      </c>
      <c r="D5" s="505">
        <v>47136.47</v>
      </c>
      <c r="E5" s="494">
        <v>47136.47</v>
      </c>
      <c r="F5" s="506"/>
      <c r="G5" s="494">
        <v>0</v>
      </c>
      <c r="H5" s="494">
        <v>47136.47</v>
      </c>
      <c r="I5" s="506">
        <v>0</v>
      </c>
      <c r="J5" s="507">
        <f>+I5</f>
        <v>0</v>
      </c>
      <c r="L5" s="508">
        <f>+J5+K5</f>
        <v>0</v>
      </c>
    </row>
    <row r="6" spans="1:12">
      <c r="A6" s="492" t="str">
        <f t="shared" ref="A6:A69" si="0">LEFT(B6,3)</f>
        <v>022</v>
      </c>
      <c r="B6" s="504" t="s">
        <v>1855</v>
      </c>
      <c r="C6" s="504" t="s">
        <v>1856</v>
      </c>
      <c r="D6" s="505">
        <v>2385</v>
      </c>
      <c r="E6" s="494">
        <v>2385</v>
      </c>
      <c r="F6" s="494"/>
      <c r="G6" s="494">
        <v>14006.52</v>
      </c>
      <c r="H6" s="494">
        <v>16391.52</v>
      </c>
      <c r="I6" s="506">
        <v>0</v>
      </c>
      <c r="J6" s="507">
        <f t="shared" ref="J6:J11" si="1">+I6</f>
        <v>0</v>
      </c>
      <c r="L6" s="508">
        <f t="shared" ref="L6:L69" si="2">+J6+K6</f>
        <v>0</v>
      </c>
    </row>
    <row r="7" spans="1:12">
      <c r="A7" s="492" t="str">
        <f t="shared" si="0"/>
        <v>022</v>
      </c>
      <c r="B7" s="504" t="s">
        <v>1857</v>
      </c>
      <c r="C7" s="504" t="s">
        <v>1858</v>
      </c>
      <c r="D7" s="505">
        <v>63151.49</v>
      </c>
      <c r="E7" s="494">
        <v>63151.49</v>
      </c>
      <c r="F7" s="494"/>
      <c r="G7" s="494">
        <v>0</v>
      </c>
      <c r="H7" s="494">
        <v>63151.49</v>
      </c>
      <c r="I7" s="506">
        <v>0</v>
      </c>
      <c r="J7" s="507">
        <f t="shared" si="1"/>
        <v>0</v>
      </c>
      <c r="L7" s="508">
        <f t="shared" si="2"/>
        <v>0</v>
      </c>
    </row>
    <row r="8" spans="1:12">
      <c r="A8" s="492" t="str">
        <f t="shared" si="0"/>
        <v>023</v>
      </c>
      <c r="B8" s="504" t="s">
        <v>1859</v>
      </c>
      <c r="C8" s="504" t="s">
        <v>1860</v>
      </c>
      <c r="D8" s="505">
        <v>2850</v>
      </c>
      <c r="E8" s="494">
        <v>2850</v>
      </c>
      <c r="F8" s="494"/>
      <c r="G8" s="494">
        <v>0</v>
      </c>
      <c r="H8" s="494">
        <v>2850</v>
      </c>
      <c r="I8" s="506">
        <v>0</v>
      </c>
      <c r="J8" s="507">
        <f t="shared" si="1"/>
        <v>0</v>
      </c>
      <c r="L8" s="508">
        <f t="shared" si="2"/>
        <v>0</v>
      </c>
    </row>
    <row r="9" spans="1:12">
      <c r="A9" s="492" t="str">
        <f t="shared" si="0"/>
        <v>028</v>
      </c>
      <c r="B9" s="504" t="s">
        <v>1861</v>
      </c>
      <c r="C9" s="504" t="s">
        <v>1862</v>
      </c>
      <c r="D9" s="505">
        <v>0</v>
      </c>
      <c r="E9" s="494">
        <v>0</v>
      </c>
      <c r="F9" s="494"/>
      <c r="G9" s="494">
        <v>19626.330000000002</v>
      </c>
      <c r="H9" s="494">
        <v>19626.330000000002</v>
      </c>
      <c r="I9" s="506">
        <v>0</v>
      </c>
      <c r="J9" s="507">
        <f t="shared" si="1"/>
        <v>0</v>
      </c>
      <c r="L9" s="508">
        <f t="shared" si="2"/>
        <v>0</v>
      </c>
    </row>
    <row r="10" spans="1:12">
      <c r="A10" s="492" t="str">
        <f t="shared" si="0"/>
        <v>042</v>
      </c>
      <c r="B10" s="504" t="s">
        <v>1863</v>
      </c>
      <c r="C10" s="504" t="s">
        <v>1864</v>
      </c>
      <c r="D10" s="505"/>
      <c r="E10" s="494">
        <v>0</v>
      </c>
      <c r="F10" s="494"/>
      <c r="G10" s="494">
        <v>14006.52</v>
      </c>
      <c r="H10" s="494">
        <v>14006.52</v>
      </c>
      <c r="I10" s="506">
        <v>0</v>
      </c>
      <c r="J10" s="507">
        <f t="shared" si="1"/>
        <v>0</v>
      </c>
      <c r="L10" s="508">
        <f t="shared" si="2"/>
        <v>0</v>
      </c>
    </row>
    <row r="11" spans="1:12">
      <c r="A11" s="492" t="str">
        <f t="shared" si="0"/>
        <v>042</v>
      </c>
      <c r="B11" s="504" t="s">
        <v>1865</v>
      </c>
      <c r="C11" s="504" t="s">
        <v>1866</v>
      </c>
      <c r="D11" s="505"/>
      <c r="E11" s="494">
        <v>0</v>
      </c>
      <c r="F11" s="494"/>
      <c r="G11" s="494">
        <v>19626.330000000002</v>
      </c>
      <c r="H11" s="494">
        <v>19626.330000000002</v>
      </c>
      <c r="I11" s="506">
        <v>0</v>
      </c>
      <c r="J11" s="507">
        <f t="shared" si="1"/>
        <v>0</v>
      </c>
      <c r="L11" s="508">
        <f t="shared" si="2"/>
        <v>0</v>
      </c>
    </row>
    <row r="12" spans="1:12">
      <c r="A12" s="492" t="str">
        <f t="shared" si="0"/>
        <v>073</v>
      </c>
      <c r="B12" s="504" t="s">
        <v>1867</v>
      </c>
      <c r="C12" s="504" t="s">
        <v>1868</v>
      </c>
      <c r="D12" s="505">
        <v>-43011.47</v>
      </c>
      <c r="E12" s="506">
        <v>43011.47</v>
      </c>
      <c r="F12" s="506"/>
      <c r="G12" s="506">
        <v>47136.47</v>
      </c>
      <c r="H12" s="506">
        <v>4125</v>
      </c>
      <c r="I12" s="506">
        <v>0</v>
      </c>
      <c r="J12" s="507">
        <f>-I12</f>
        <v>0</v>
      </c>
      <c r="L12" s="508">
        <f t="shared" si="2"/>
        <v>0</v>
      </c>
    </row>
    <row r="13" spans="1:12">
      <c r="A13" s="492" t="str">
        <f t="shared" si="0"/>
        <v>082</v>
      </c>
      <c r="B13" s="504" t="s">
        <v>1869</v>
      </c>
      <c r="C13" s="504" t="s">
        <v>1870</v>
      </c>
      <c r="D13" s="505">
        <v>-564</v>
      </c>
      <c r="E13" s="506">
        <v>564</v>
      </c>
      <c r="F13" s="506"/>
      <c r="G13" s="506">
        <v>22847.33</v>
      </c>
      <c r="H13" s="506">
        <v>22283.33</v>
      </c>
      <c r="I13" s="506">
        <v>0</v>
      </c>
      <c r="J13" s="507">
        <f t="shared" ref="J13:J18" si="3">-I13</f>
        <v>0</v>
      </c>
      <c r="L13" s="508">
        <f t="shared" si="2"/>
        <v>0</v>
      </c>
    </row>
    <row r="14" spans="1:12">
      <c r="A14" s="492" t="str">
        <f t="shared" si="0"/>
        <v>082</v>
      </c>
      <c r="B14" s="504" t="s">
        <v>1871</v>
      </c>
      <c r="C14" s="504" t="s">
        <v>1872</v>
      </c>
      <c r="D14" s="505">
        <v>0</v>
      </c>
      <c r="E14" s="506">
        <v>0</v>
      </c>
      <c r="F14" s="506"/>
      <c r="G14" s="506">
        <v>4764.53</v>
      </c>
      <c r="H14" s="506">
        <v>4764.53</v>
      </c>
      <c r="I14" s="506">
        <v>0</v>
      </c>
      <c r="J14" s="507">
        <f t="shared" si="3"/>
        <v>0</v>
      </c>
      <c r="L14" s="508">
        <f t="shared" si="2"/>
        <v>0</v>
      </c>
    </row>
    <row r="15" spans="1:12">
      <c r="A15" s="492" t="str">
        <f t="shared" si="0"/>
        <v>082</v>
      </c>
      <c r="B15" s="504" t="s">
        <v>1873</v>
      </c>
      <c r="C15" s="504" t="s">
        <v>1874</v>
      </c>
      <c r="D15" s="505">
        <v>-49378.17</v>
      </c>
      <c r="E15" s="506">
        <v>49378.17</v>
      </c>
      <c r="F15" s="506"/>
      <c r="G15" s="506">
        <v>50110.15</v>
      </c>
      <c r="H15" s="506">
        <v>731.98</v>
      </c>
      <c r="I15" s="506">
        <v>0</v>
      </c>
      <c r="J15" s="507">
        <f t="shared" si="3"/>
        <v>0</v>
      </c>
      <c r="L15" s="508">
        <f t="shared" si="2"/>
        <v>0</v>
      </c>
    </row>
    <row r="16" spans="1:12">
      <c r="A16" s="492" t="str">
        <f t="shared" si="0"/>
        <v>082</v>
      </c>
      <c r="B16" s="504" t="s">
        <v>1875</v>
      </c>
      <c r="C16" s="504" t="s">
        <v>1876</v>
      </c>
      <c r="D16" s="505">
        <v>0</v>
      </c>
      <c r="E16" s="506">
        <v>0</v>
      </c>
      <c r="F16" s="506"/>
      <c r="G16" s="506">
        <v>1821</v>
      </c>
      <c r="H16" s="506">
        <v>1821</v>
      </c>
      <c r="I16" s="506">
        <v>0</v>
      </c>
      <c r="J16" s="507">
        <f t="shared" si="3"/>
        <v>0</v>
      </c>
      <c r="L16" s="508">
        <f t="shared" si="2"/>
        <v>0</v>
      </c>
    </row>
    <row r="17" spans="1:12">
      <c r="A17" s="492" t="str">
        <f t="shared" si="0"/>
        <v>083</v>
      </c>
      <c r="B17" s="504" t="s">
        <v>1877</v>
      </c>
      <c r="C17" s="504" t="s">
        <v>1878</v>
      </c>
      <c r="D17" s="505">
        <v>-514.58000000000004</v>
      </c>
      <c r="E17" s="506">
        <v>514.58000000000004</v>
      </c>
      <c r="F17" s="506"/>
      <c r="G17" s="506">
        <v>2850</v>
      </c>
      <c r="H17" s="506">
        <v>2335.42</v>
      </c>
      <c r="I17" s="506">
        <v>0</v>
      </c>
      <c r="J17" s="507">
        <f>-I17</f>
        <v>0</v>
      </c>
      <c r="L17" s="508">
        <f t="shared" si="2"/>
        <v>0</v>
      </c>
    </row>
    <row r="18" spans="1:12">
      <c r="A18" s="492" t="str">
        <f t="shared" si="0"/>
        <v>088</v>
      </c>
      <c r="B18" s="504" t="s">
        <v>1879</v>
      </c>
      <c r="C18" s="504" t="s">
        <v>1880</v>
      </c>
      <c r="D18" s="505"/>
      <c r="E18" s="506">
        <v>0</v>
      </c>
      <c r="F18" s="506"/>
      <c r="G18" s="506">
        <v>19626.330000000002</v>
      </c>
      <c r="H18" s="506">
        <v>19626.330000000002</v>
      </c>
      <c r="I18" s="506">
        <v>0</v>
      </c>
      <c r="J18" s="507">
        <f t="shared" si="3"/>
        <v>0</v>
      </c>
      <c r="L18" s="508">
        <f t="shared" si="2"/>
        <v>0</v>
      </c>
    </row>
    <row r="19" spans="1:12">
      <c r="A19" s="492" t="str">
        <f t="shared" si="0"/>
        <v>112</v>
      </c>
      <c r="B19" s="504" t="s">
        <v>1881</v>
      </c>
      <c r="C19" s="504" t="s">
        <v>1882</v>
      </c>
      <c r="D19" s="505">
        <v>5056.88</v>
      </c>
      <c r="E19" s="506">
        <v>5056.88</v>
      </c>
      <c r="F19" s="506"/>
      <c r="G19" s="506">
        <v>89272.63</v>
      </c>
      <c r="H19" s="506">
        <v>94329.51</v>
      </c>
      <c r="I19" s="506">
        <v>0</v>
      </c>
      <c r="J19" s="507">
        <f>+I19</f>
        <v>0</v>
      </c>
      <c r="L19" s="508">
        <f t="shared" si="2"/>
        <v>0</v>
      </c>
    </row>
    <row r="20" spans="1:12">
      <c r="A20" s="492" t="str">
        <f t="shared" si="0"/>
        <v>112</v>
      </c>
      <c r="B20" s="504" t="s">
        <v>1883</v>
      </c>
      <c r="C20" s="504" t="s">
        <v>1884</v>
      </c>
      <c r="D20" s="505">
        <v>1186.18</v>
      </c>
      <c r="E20" s="506">
        <v>1186.18</v>
      </c>
      <c r="F20" s="506"/>
      <c r="G20" s="506">
        <v>13064.18</v>
      </c>
      <c r="H20" s="506">
        <v>14250.36</v>
      </c>
      <c r="I20" s="506">
        <v>0</v>
      </c>
      <c r="J20" s="507">
        <f t="shared" ref="J20:J28" si="4">+I20</f>
        <v>0</v>
      </c>
      <c r="L20" s="508">
        <f t="shared" si="2"/>
        <v>0</v>
      </c>
    </row>
    <row r="21" spans="1:12">
      <c r="A21" s="492" t="str">
        <f t="shared" si="0"/>
        <v>112</v>
      </c>
      <c r="B21" s="504" t="s">
        <v>1885</v>
      </c>
      <c r="C21" s="504" t="s">
        <v>1886</v>
      </c>
      <c r="D21" s="505">
        <v>19939.310000000001</v>
      </c>
      <c r="E21" s="506">
        <v>19939.310000000001</v>
      </c>
      <c r="F21" s="506"/>
      <c r="G21" s="506">
        <v>387633.53</v>
      </c>
      <c r="H21" s="506">
        <v>407572.84</v>
      </c>
      <c r="I21" s="506">
        <v>0</v>
      </c>
      <c r="J21" s="507">
        <f t="shared" si="4"/>
        <v>0</v>
      </c>
      <c r="L21" s="508">
        <f t="shared" si="2"/>
        <v>0</v>
      </c>
    </row>
    <row r="22" spans="1:12">
      <c r="A22" s="492" t="str">
        <f t="shared" si="0"/>
        <v>112</v>
      </c>
      <c r="B22" s="504" t="s">
        <v>1887</v>
      </c>
      <c r="C22" s="504" t="s">
        <v>1888</v>
      </c>
      <c r="D22" s="505">
        <v>208142.66</v>
      </c>
      <c r="E22" s="506">
        <v>208142.66</v>
      </c>
      <c r="F22" s="506"/>
      <c r="G22" s="506">
        <v>333536.75</v>
      </c>
      <c r="H22" s="506">
        <v>541679.41</v>
      </c>
      <c r="I22" s="506">
        <v>0</v>
      </c>
      <c r="J22" s="507">
        <f t="shared" si="4"/>
        <v>0</v>
      </c>
      <c r="L22" s="508">
        <f t="shared" si="2"/>
        <v>0</v>
      </c>
    </row>
    <row r="23" spans="1:12">
      <c r="A23" s="492" t="str">
        <f t="shared" si="0"/>
        <v>112</v>
      </c>
      <c r="B23" s="504" t="s">
        <v>1889</v>
      </c>
      <c r="C23" s="504" t="s">
        <v>1890</v>
      </c>
      <c r="D23" s="505">
        <v>13273.88</v>
      </c>
      <c r="E23" s="506">
        <v>13273.88</v>
      </c>
      <c r="F23" s="506"/>
      <c r="G23" s="506">
        <v>533083.24</v>
      </c>
      <c r="H23" s="506">
        <v>546357.12</v>
      </c>
      <c r="I23" s="506">
        <v>0</v>
      </c>
      <c r="J23" s="507">
        <f t="shared" si="4"/>
        <v>0</v>
      </c>
      <c r="L23" s="508">
        <f t="shared" si="2"/>
        <v>0</v>
      </c>
    </row>
    <row r="24" spans="1:12">
      <c r="A24" s="492" t="str">
        <f t="shared" si="0"/>
        <v>112</v>
      </c>
      <c r="B24" s="504" t="s">
        <v>1891</v>
      </c>
      <c r="C24" s="504" t="s">
        <v>1892</v>
      </c>
      <c r="D24" s="505">
        <v>37.92</v>
      </c>
      <c r="E24" s="506">
        <v>37.92</v>
      </c>
      <c r="F24" s="506"/>
      <c r="G24" s="506">
        <v>0</v>
      </c>
      <c r="H24" s="506">
        <v>37.92</v>
      </c>
      <c r="I24" s="506">
        <v>0</v>
      </c>
      <c r="J24" s="507">
        <f t="shared" si="4"/>
        <v>0</v>
      </c>
      <c r="L24" s="508">
        <f t="shared" si="2"/>
        <v>0</v>
      </c>
    </row>
    <row r="25" spans="1:12">
      <c r="A25" s="492" t="str">
        <f t="shared" si="0"/>
        <v>112</v>
      </c>
      <c r="B25" s="504" t="s">
        <v>1893</v>
      </c>
      <c r="C25" s="504" t="s">
        <v>1894</v>
      </c>
      <c r="D25" s="505">
        <v>143601.97</v>
      </c>
      <c r="E25" s="506">
        <v>143601.97</v>
      </c>
      <c r="F25" s="506"/>
      <c r="G25" s="506">
        <v>-54736.6</v>
      </c>
      <c r="H25" s="506">
        <v>88865.37</v>
      </c>
      <c r="I25" s="506">
        <v>0</v>
      </c>
      <c r="J25" s="507">
        <f t="shared" si="4"/>
        <v>0</v>
      </c>
      <c r="L25" s="508">
        <f t="shared" si="2"/>
        <v>0</v>
      </c>
    </row>
    <row r="26" spans="1:12">
      <c r="A26" s="492" t="str">
        <f t="shared" si="0"/>
        <v>191</v>
      </c>
      <c r="B26" s="504" t="s">
        <v>1895</v>
      </c>
      <c r="C26" s="504" t="s">
        <v>1896</v>
      </c>
      <c r="D26" s="505">
        <v>-12000</v>
      </c>
      <c r="E26" s="506">
        <v>12000</v>
      </c>
      <c r="F26" s="506"/>
      <c r="G26" s="506">
        <v>12000</v>
      </c>
      <c r="H26" s="506">
        <v>0</v>
      </c>
      <c r="I26" s="506">
        <v>0</v>
      </c>
      <c r="J26" s="507">
        <f t="shared" si="4"/>
        <v>0</v>
      </c>
      <c r="L26" s="508">
        <f t="shared" si="2"/>
        <v>0</v>
      </c>
    </row>
    <row r="27" spans="1:12">
      <c r="A27" s="492" t="str">
        <f t="shared" si="0"/>
        <v>211</v>
      </c>
      <c r="B27" s="504" t="s">
        <v>1897</v>
      </c>
      <c r="C27" s="504" t="s">
        <v>1898</v>
      </c>
      <c r="D27" s="505">
        <v>2744.06</v>
      </c>
      <c r="E27" s="506">
        <v>2744.06</v>
      </c>
      <c r="F27" s="506"/>
      <c r="G27" s="506">
        <v>78577.2</v>
      </c>
      <c r="H27" s="506">
        <v>81321.259999999995</v>
      </c>
      <c r="I27" s="506">
        <v>0</v>
      </c>
      <c r="J27" s="507">
        <f t="shared" si="4"/>
        <v>0</v>
      </c>
      <c r="L27" s="508">
        <f t="shared" si="2"/>
        <v>0</v>
      </c>
    </row>
    <row r="28" spans="1:12">
      <c r="A28" s="492" t="str">
        <f t="shared" si="0"/>
        <v>221</v>
      </c>
      <c r="B28" s="504" t="s">
        <v>1899</v>
      </c>
      <c r="C28" s="504" t="s">
        <v>1900</v>
      </c>
      <c r="D28" s="505">
        <v>0</v>
      </c>
      <c r="E28" s="506">
        <v>0</v>
      </c>
      <c r="F28" s="506"/>
      <c r="G28" s="506">
        <v>14616758.07</v>
      </c>
      <c r="H28" s="506">
        <v>14616758.07</v>
      </c>
      <c r="I28" s="506">
        <v>0</v>
      </c>
      <c r="J28" s="507">
        <f t="shared" si="4"/>
        <v>0</v>
      </c>
      <c r="L28" s="508">
        <f t="shared" si="2"/>
        <v>0</v>
      </c>
    </row>
    <row r="29" spans="1:12">
      <c r="A29" s="492" t="str">
        <f t="shared" si="0"/>
        <v>221</v>
      </c>
      <c r="B29" s="504" t="s">
        <v>1901</v>
      </c>
      <c r="C29" s="504" t="s">
        <v>1902</v>
      </c>
      <c r="D29" s="505">
        <v>1959.54</v>
      </c>
      <c r="E29" s="506">
        <v>1959.54</v>
      </c>
      <c r="F29" s="506"/>
      <c r="G29" s="506">
        <v>0.14000000000000001</v>
      </c>
      <c r="H29" s="506">
        <v>1959.68</v>
      </c>
      <c r="I29" s="506">
        <v>0</v>
      </c>
      <c r="J29" s="507">
        <f>-I29</f>
        <v>0</v>
      </c>
      <c r="L29" s="508">
        <f t="shared" si="2"/>
        <v>0</v>
      </c>
    </row>
    <row r="30" spans="1:12">
      <c r="A30" s="492" t="str">
        <f t="shared" si="0"/>
        <v>249</v>
      </c>
      <c r="B30" s="504" t="s">
        <v>1903</v>
      </c>
      <c r="C30" s="504" t="s">
        <v>1904</v>
      </c>
      <c r="D30" s="505">
        <v>0</v>
      </c>
      <c r="E30" s="506">
        <v>0</v>
      </c>
      <c r="F30" s="506"/>
      <c r="G30" s="506">
        <v>7498.6</v>
      </c>
      <c r="H30" s="506">
        <v>7498.6</v>
      </c>
      <c r="I30" s="506">
        <v>0</v>
      </c>
      <c r="J30" s="507">
        <f>-I30</f>
        <v>0</v>
      </c>
      <c r="L30" s="508">
        <f t="shared" si="2"/>
        <v>0</v>
      </c>
    </row>
    <row r="31" spans="1:12">
      <c r="A31" s="492" t="str">
        <f t="shared" si="0"/>
        <v>261</v>
      </c>
      <c r="B31" s="504" t="s">
        <v>1905</v>
      </c>
      <c r="C31" s="504" t="s">
        <v>1906</v>
      </c>
      <c r="D31" s="505">
        <v>0</v>
      </c>
      <c r="E31" s="506">
        <v>0</v>
      </c>
      <c r="F31" s="506"/>
      <c r="G31" s="506">
        <v>45626.05</v>
      </c>
      <c r="H31" s="506">
        <v>45626.05</v>
      </c>
      <c r="I31" s="506">
        <v>0</v>
      </c>
      <c r="J31" s="507">
        <f t="shared" ref="J31:J37" si="5">+I31</f>
        <v>0</v>
      </c>
      <c r="L31" s="508">
        <f t="shared" si="2"/>
        <v>0</v>
      </c>
    </row>
    <row r="32" spans="1:12">
      <c r="A32" s="492" t="str">
        <f t="shared" si="0"/>
        <v>261</v>
      </c>
      <c r="B32" s="504" t="s">
        <v>1907</v>
      </c>
      <c r="C32" s="504" t="s">
        <v>1908</v>
      </c>
      <c r="D32" s="505">
        <v>0</v>
      </c>
      <c r="E32" s="506">
        <v>0</v>
      </c>
      <c r="F32" s="506"/>
      <c r="G32" s="506">
        <v>1860.08</v>
      </c>
      <c r="H32" s="506">
        <v>1860.08</v>
      </c>
      <c r="I32" s="506">
        <v>0</v>
      </c>
      <c r="J32" s="507">
        <f t="shared" si="5"/>
        <v>0</v>
      </c>
      <c r="L32" s="508">
        <f t="shared" si="2"/>
        <v>0</v>
      </c>
    </row>
    <row r="33" spans="1:15">
      <c r="A33" s="492" t="str">
        <f t="shared" si="0"/>
        <v>311</v>
      </c>
      <c r="B33" s="504" t="s">
        <v>1909</v>
      </c>
      <c r="C33" s="504" t="s">
        <v>1910</v>
      </c>
      <c r="D33" s="505">
        <v>142308.43</v>
      </c>
      <c r="E33" s="506">
        <v>142308.43</v>
      </c>
      <c r="F33" s="506"/>
      <c r="G33" s="506">
        <v>820060.68</v>
      </c>
      <c r="H33" s="506">
        <v>952240.13</v>
      </c>
      <c r="I33" s="506">
        <v>10128.98</v>
      </c>
      <c r="J33" s="507">
        <f t="shared" si="5"/>
        <v>10128.98</v>
      </c>
      <c r="L33" s="508">
        <f t="shared" si="2"/>
        <v>10128.98</v>
      </c>
      <c r="M33" s="493">
        <v>22830.3</v>
      </c>
      <c r="N33" s="493">
        <f>+M33-L33</f>
        <v>12701.32</v>
      </c>
      <c r="O33" s="492" t="s">
        <v>2685</v>
      </c>
    </row>
    <row r="34" spans="1:15">
      <c r="A34" s="492" t="str">
        <f t="shared" si="0"/>
        <v>311</v>
      </c>
      <c r="B34" s="504" t="s">
        <v>1911</v>
      </c>
      <c r="C34" s="504" t="s">
        <v>1912</v>
      </c>
      <c r="D34" s="505">
        <v>1650356.71</v>
      </c>
      <c r="E34" s="506">
        <v>1650356.71</v>
      </c>
      <c r="F34" s="506"/>
      <c r="G34" s="506">
        <v>5215845.3600000003</v>
      </c>
      <c r="H34" s="506">
        <v>6868407.3300000001</v>
      </c>
      <c r="I34" s="506">
        <v>-2205.2600000000002</v>
      </c>
      <c r="J34" s="507">
        <f t="shared" si="5"/>
        <v>-2205.2600000000002</v>
      </c>
      <c r="L34" s="508">
        <f t="shared" si="2"/>
        <v>-2205.2600000000002</v>
      </c>
    </row>
    <row r="35" spans="1:15">
      <c r="A35" s="492" t="str">
        <f t="shared" si="0"/>
        <v>311</v>
      </c>
      <c r="B35" s="504" t="s">
        <v>1913</v>
      </c>
      <c r="C35" s="504" t="s">
        <v>1914</v>
      </c>
      <c r="D35" s="505">
        <v>361.16</v>
      </c>
      <c r="E35" s="506">
        <v>361.16</v>
      </c>
      <c r="F35" s="506"/>
      <c r="G35" s="506">
        <v>7805.83</v>
      </c>
      <c r="H35" s="506">
        <v>8166.99</v>
      </c>
      <c r="I35" s="506">
        <v>0</v>
      </c>
      <c r="J35" s="507">
        <f t="shared" si="5"/>
        <v>0</v>
      </c>
      <c r="L35" s="508">
        <f t="shared" si="2"/>
        <v>0</v>
      </c>
    </row>
    <row r="36" spans="1:15">
      <c r="A36" s="492" t="str">
        <f t="shared" si="0"/>
        <v>314</v>
      </c>
      <c r="B36" s="504" t="s">
        <v>1915</v>
      </c>
      <c r="C36" s="504" t="s">
        <v>1916</v>
      </c>
      <c r="D36" s="505">
        <v>717.91</v>
      </c>
      <c r="E36" s="506">
        <v>717.91</v>
      </c>
      <c r="F36" s="506"/>
      <c r="G36" s="506">
        <v>48929.64</v>
      </c>
      <c r="H36" s="506">
        <v>49647.55</v>
      </c>
      <c r="I36" s="506">
        <v>0</v>
      </c>
      <c r="J36" s="507">
        <f t="shared" si="5"/>
        <v>0</v>
      </c>
      <c r="L36" s="508">
        <f t="shared" si="2"/>
        <v>0</v>
      </c>
    </row>
    <row r="37" spans="1:15">
      <c r="A37" s="492" t="str">
        <f t="shared" si="0"/>
        <v>315</v>
      </c>
      <c r="B37" s="504" t="s">
        <v>1917</v>
      </c>
      <c r="C37" s="504" t="s">
        <v>1918</v>
      </c>
      <c r="D37" s="505">
        <v>0</v>
      </c>
      <c r="E37" s="506">
        <v>0</v>
      </c>
      <c r="F37" s="506"/>
      <c r="G37" s="506">
        <v>61145.98</v>
      </c>
      <c r="H37" s="506">
        <v>60614.65</v>
      </c>
      <c r="I37" s="506">
        <v>531.33000000000004</v>
      </c>
      <c r="J37" s="507">
        <f t="shared" si="5"/>
        <v>531.33000000000004</v>
      </c>
      <c r="L37" s="508">
        <f t="shared" si="2"/>
        <v>531.33000000000004</v>
      </c>
    </row>
    <row r="38" spans="1:15">
      <c r="A38" s="492" t="str">
        <f t="shared" si="0"/>
        <v>321</v>
      </c>
      <c r="B38" s="504" t="s">
        <v>1919</v>
      </c>
      <c r="C38" s="504" t="s">
        <v>1920</v>
      </c>
      <c r="D38" s="505">
        <v>-4601933.37</v>
      </c>
      <c r="E38" s="506">
        <v>4601933.37</v>
      </c>
      <c r="F38" s="506"/>
      <c r="G38" s="506">
        <v>3986504.77</v>
      </c>
      <c r="H38" s="506">
        <v>2214256.54</v>
      </c>
      <c r="I38" s="506">
        <v>2829685.14</v>
      </c>
      <c r="J38" s="507">
        <f t="shared" ref="J38:J46" si="6">-I38</f>
        <v>-2829685.14</v>
      </c>
      <c r="L38" s="508">
        <f t="shared" si="2"/>
        <v>-2829685.14</v>
      </c>
    </row>
    <row r="39" spans="1:15">
      <c r="A39" s="492" t="str">
        <f t="shared" si="0"/>
        <v>321</v>
      </c>
      <c r="B39" s="504" t="s">
        <v>1921</v>
      </c>
      <c r="C39" s="504" t="s">
        <v>1922</v>
      </c>
      <c r="D39" s="505">
        <v>-782.95</v>
      </c>
      <c r="E39" s="506">
        <v>782.95</v>
      </c>
      <c r="F39" s="506"/>
      <c r="G39" s="506">
        <v>14446.76</v>
      </c>
      <c r="H39" s="506">
        <v>19383.810000000001</v>
      </c>
      <c r="I39" s="506">
        <v>5720</v>
      </c>
      <c r="J39" s="507">
        <f t="shared" si="6"/>
        <v>-5720</v>
      </c>
      <c r="L39" s="508">
        <f t="shared" si="2"/>
        <v>-5720</v>
      </c>
    </row>
    <row r="40" spans="1:15">
      <c r="A40" s="492" t="str">
        <f t="shared" si="0"/>
        <v>323</v>
      </c>
      <c r="B40" s="504" t="s">
        <v>1923</v>
      </c>
      <c r="C40" s="504" t="s">
        <v>1924</v>
      </c>
      <c r="D40" s="505">
        <v>-169307.22999999998</v>
      </c>
      <c r="E40" s="506">
        <v>168051.43</v>
      </c>
      <c r="F40" s="506">
        <f>+D40+E40</f>
        <v>-1255.7999999999884</v>
      </c>
      <c r="G40" s="506">
        <v>323073.15000000002</v>
      </c>
      <c r="H40" s="506">
        <v>175282.21</v>
      </c>
      <c r="I40" s="506">
        <v>20260.490000000002</v>
      </c>
      <c r="J40" s="507">
        <f t="shared" si="6"/>
        <v>-20260.490000000002</v>
      </c>
      <c r="L40" s="508">
        <f t="shared" si="2"/>
        <v>-20260.490000000002</v>
      </c>
    </row>
    <row r="41" spans="1:15">
      <c r="A41" s="492" t="str">
        <f t="shared" si="0"/>
        <v>324</v>
      </c>
      <c r="B41" s="504" t="s">
        <v>1925</v>
      </c>
      <c r="C41" s="504" t="s">
        <v>1926</v>
      </c>
      <c r="D41" s="505">
        <v>0</v>
      </c>
      <c r="E41" s="506">
        <v>0</v>
      </c>
      <c r="F41" s="506"/>
      <c r="G41" s="506">
        <v>415.96</v>
      </c>
      <c r="H41" s="506">
        <v>415.96</v>
      </c>
      <c r="I41" s="506">
        <v>0</v>
      </c>
      <c r="J41" s="507">
        <f t="shared" si="6"/>
        <v>0</v>
      </c>
      <c r="L41" s="508">
        <f t="shared" si="2"/>
        <v>0</v>
      </c>
    </row>
    <row r="42" spans="1:15">
      <c r="A42" s="492" t="str">
        <f t="shared" si="0"/>
        <v>325</v>
      </c>
      <c r="B42" s="504" t="s">
        <v>1927</v>
      </c>
      <c r="C42" s="504" t="s">
        <v>1928</v>
      </c>
      <c r="D42" s="505"/>
      <c r="E42" s="506">
        <v>0</v>
      </c>
      <c r="F42" s="506"/>
      <c r="G42" s="506">
        <v>13421.02</v>
      </c>
      <c r="H42" s="506">
        <v>13421.02</v>
      </c>
      <c r="I42" s="506">
        <v>0</v>
      </c>
      <c r="J42" s="507">
        <f t="shared" si="6"/>
        <v>0</v>
      </c>
      <c r="L42" s="508">
        <f t="shared" si="2"/>
        <v>0</v>
      </c>
    </row>
    <row r="43" spans="1:15">
      <c r="A43" s="492" t="str">
        <f t="shared" si="0"/>
        <v>325</v>
      </c>
      <c r="B43" s="504" t="s">
        <v>1929</v>
      </c>
      <c r="C43" s="504" t="s">
        <v>1930</v>
      </c>
      <c r="D43" s="505"/>
      <c r="E43" s="506">
        <v>0</v>
      </c>
      <c r="F43" s="506"/>
      <c r="G43" s="506">
        <v>17359.28</v>
      </c>
      <c r="H43" s="506">
        <v>17359.28</v>
      </c>
      <c r="I43" s="506">
        <v>0</v>
      </c>
      <c r="J43" s="507">
        <f t="shared" si="6"/>
        <v>0</v>
      </c>
      <c r="L43" s="508">
        <f t="shared" si="2"/>
        <v>0</v>
      </c>
    </row>
    <row r="44" spans="1:15">
      <c r="A44" s="492" t="str">
        <f t="shared" si="0"/>
        <v>326</v>
      </c>
      <c r="B44" s="504" t="s">
        <v>1931</v>
      </c>
      <c r="C44" s="504" t="s">
        <v>1932</v>
      </c>
      <c r="D44" s="505">
        <v>-8966</v>
      </c>
      <c r="E44" s="506">
        <v>8966</v>
      </c>
      <c r="F44" s="506"/>
      <c r="G44" s="506">
        <v>8966</v>
      </c>
      <c r="H44" s="506">
        <v>239981.28</v>
      </c>
      <c r="I44" s="506">
        <v>239981.28</v>
      </c>
      <c r="J44" s="507">
        <f t="shared" si="6"/>
        <v>-239981.28</v>
      </c>
      <c r="K44" s="493">
        <f>-K155</f>
        <v>-2200</v>
      </c>
      <c r="L44" s="508">
        <f t="shared" si="2"/>
        <v>-242181.28</v>
      </c>
    </row>
    <row r="45" spans="1:15">
      <c r="A45" s="492" t="str">
        <f t="shared" si="0"/>
        <v>331</v>
      </c>
      <c r="B45" s="504" t="s">
        <v>1933</v>
      </c>
      <c r="C45" s="504" t="s">
        <v>1934</v>
      </c>
      <c r="D45" s="505">
        <v>-292796.96000000002</v>
      </c>
      <c r="E45" s="506">
        <v>292796.96000000002</v>
      </c>
      <c r="F45" s="506"/>
      <c r="G45" s="506">
        <v>2576811.1800000002</v>
      </c>
      <c r="H45" s="506">
        <v>2284626.63</v>
      </c>
      <c r="I45" s="506">
        <v>612.41</v>
      </c>
      <c r="J45" s="507">
        <f t="shared" si="6"/>
        <v>-612.41</v>
      </c>
      <c r="L45" s="508">
        <f t="shared" si="2"/>
        <v>-612.41</v>
      </c>
    </row>
    <row r="46" spans="1:15">
      <c r="A46" s="492" t="str">
        <f t="shared" si="0"/>
        <v>333</v>
      </c>
      <c r="B46" s="504" t="s">
        <v>1935</v>
      </c>
      <c r="C46" s="504" t="s">
        <v>1936</v>
      </c>
      <c r="D46" s="505">
        <v>0</v>
      </c>
      <c r="E46" s="506">
        <v>0</v>
      </c>
      <c r="F46" s="506"/>
      <c r="G46" s="506">
        <v>2942.42</v>
      </c>
      <c r="H46" s="506">
        <v>2942.42</v>
      </c>
      <c r="I46" s="506">
        <v>0</v>
      </c>
      <c r="J46" s="507">
        <f t="shared" si="6"/>
        <v>0</v>
      </c>
      <c r="L46" s="508">
        <f t="shared" si="2"/>
        <v>0</v>
      </c>
    </row>
    <row r="47" spans="1:15">
      <c r="A47" s="492" t="str">
        <f t="shared" si="0"/>
        <v>335</v>
      </c>
      <c r="B47" s="504" t="s">
        <v>1937</v>
      </c>
      <c r="C47" s="504" t="s">
        <v>1938</v>
      </c>
      <c r="D47" s="505">
        <v>0</v>
      </c>
      <c r="E47" s="506">
        <v>0</v>
      </c>
      <c r="F47" s="506"/>
      <c r="G47" s="506">
        <v>30</v>
      </c>
      <c r="H47" s="506">
        <v>30</v>
      </c>
      <c r="I47" s="506">
        <v>0</v>
      </c>
      <c r="J47" s="507">
        <f>+I47</f>
        <v>0</v>
      </c>
      <c r="L47" s="508">
        <f t="shared" si="2"/>
        <v>0</v>
      </c>
    </row>
    <row r="48" spans="1:15">
      <c r="A48" s="492" t="str">
        <f t="shared" si="0"/>
        <v>335</v>
      </c>
      <c r="B48" s="504" t="s">
        <v>1939</v>
      </c>
      <c r="C48" s="504" t="s">
        <v>1940</v>
      </c>
      <c r="D48" s="505">
        <v>0</v>
      </c>
      <c r="E48" s="506">
        <v>0</v>
      </c>
      <c r="F48" s="506"/>
      <c r="G48" s="506">
        <v>15352.26</v>
      </c>
      <c r="H48" s="506">
        <v>15352.26</v>
      </c>
      <c r="I48" s="506">
        <v>0</v>
      </c>
      <c r="J48" s="507">
        <f>+I48</f>
        <v>0</v>
      </c>
      <c r="L48" s="508">
        <f t="shared" si="2"/>
        <v>0</v>
      </c>
    </row>
    <row r="49" spans="1:12">
      <c r="A49" s="492" t="str">
        <f t="shared" si="0"/>
        <v>335</v>
      </c>
      <c r="B49" s="504" t="s">
        <v>1941</v>
      </c>
      <c r="C49" s="504" t="s">
        <v>1942</v>
      </c>
      <c r="D49" s="505">
        <v>0</v>
      </c>
      <c r="E49" s="506">
        <v>0</v>
      </c>
      <c r="F49" s="506"/>
      <c r="G49" s="506">
        <v>15180.6</v>
      </c>
      <c r="H49" s="506">
        <v>15180.6</v>
      </c>
      <c r="I49" s="506">
        <v>0</v>
      </c>
      <c r="J49" s="507">
        <f>+I49</f>
        <v>0</v>
      </c>
      <c r="L49" s="508">
        <f t="shared" si="2"/>
        <v>0</v>
      </c>
    </row>
    <row r="50" spans="1:12">
      <c r="A50" s="492" t="str">
        <f t="shared" si="0"/>
        <v>335</v>
      </c>
      <c r="B50" s="504" t="s">
        <v>1943</v>
      </c>
      <c r="C50" s="504" t="s">
        <v>1944</v>
      </c>
      <c r="D50" s="505">
        <v>16.809999999999999</v>
      </c>
      <c r="E50" s="506">
        <v>16.809999999999999</v>
      </c>
      <c r="F50" s="506"/>
      <c r="G50" s="506">
        <v>9037.3799999999992</v>
      </c>
      <c r="H50" s="506">
        <v>8991.94</v>
      </c>
      <c r="I50" s="506">
        <v>62.25</v>
      </c>
      <c r="J50" s="507">
        <f>+I50</f>
        <v>62.25</v>
      </c>
      <c r="L50" s="508">
        <f t="shared" si="2"/>
        <v>62.25</v>
      </c>
    </row>
    <row r="51" spans="1:12">
      <c r="A51" s="492" t="str">
        <f t="shared" si="0"/>
        <v>335</v>
      </c>
      <c r="B51" s="504" t="s">
        <v>1945</v>
      </c>
      <c r="C51" s="504" t="s">
        <v>1946</v>
      </c>
      <c r="D51" s="505">
        <v>200</v>
      </c>
      <c r="E51" s="506">
        <v>200</v>
      </c>
      <c r="F51" s="506"/>
      <c r="G51" s="506">
        <v>0</v>
      </c>
      <c r="H51" s="506">
        <v>200</v>
      </c>
      <c r="I51" s="506">
        <v>0</v>
      </c>
      <c r="J51" s="507">
        <f>+I51</f>
        <v>0</v>
      </c>
      <c r="L51" s="508">
        <f t="shared" si="2"/>
        <v>0</v>
      </c>
    </row>
    <row r="52" spans="1:12">
      <c r="A52" s="492" t="str">
        <f t="shared" si="0"/>
        <v>336</v>
      </c>
      <c r="B52" s="504" t="s">
        <v>1947</v>
      </c>
      <c r="C52" s="504" t="s">
        <v>1948</v>
      </c>
      <c r="D52" s="505">
        <v>-127406.56</v>
      </c>
      <c r="E52" s="506">
        <v>127406.56</v>
      </c>
      <c r="F52" s="506"/>
      <c r="G52" s="506">
        <v>885825.53</v>
      </c>
      <c r="H52" s="506">
        <v>758663.45</v>
      </c>
      <c r="I52" s="506">
        <v>244.48</v>
      </c>
      <c r="J52" s="507">
        <f t="shared" ref="J52:J58" si="7">-I52</f>
        <v>-244.48</v>
      </c>
      <c r="L52" s="508">
        <f t="shared" si="2"/>
        <v>-244.48</v>
      </c>
    </row>
    <row r="53" spans="1:12">
      <c r="A53" s="492" t="str">
        <f t="shared" si="0"/>
        <v>336</v>
      </c>
      <c r="B53" s="504" t="s">
        <v>1949</v>
      </c>
      <c r="C53" s="504" t="s">
        <v>1950</v>
      </c>
      <c r="D53" s="505">
        <v>-49942.62</v>
      </c>
      <c r="E53" s="506">
        <v>49942.62</v>
      </c>
      <c r="F53" s="506"/>
      <c r="G53" s="506">
        <v>346432.22</v>
      </c>
      <c r="H53" s="506">
        <v>296563.8</v>
      </c>
      <c r="I53" s="506">
        <v>74.2</v>
      </c>
      <c r="J53" s="507">
        <f t="shared" si="7"/>
        <v>-74.2</v>
      </c>
      <c r="L53" s="508">
        <f t="shared" si="2"/>
        <v>-74.2</v>
      </c>
    </row>
    <row r="54" spans="1:12">
      <c r="A54" s="492" t="str">
        <f t="shared" si="0"/>
        <v>336</v>
      </c>
      <c r="B54" s="504" t="s">
        <v>1951</v>
      </c>
      <c r="C54" s="504" t="s">
        <v>1952</v>
      </c>
      <c r="D54" s="505">
        <v>-642.24</v>
      </c>
      <c r="E54" s="506">
        <v>642.24</v>
      </c>
      <c r="F54" s="506"/>
      <c r="G54" s="506">
        <v>4372.45</v>
      </c>
      <c r="H54" s="506">
        <v>3730.21</v>
      </c>
      <c r="I54" s="506">
        <v>0</v>
      </c>
      <c r="J54" s="507">
        <f t="shared" si="7"/>
        <v>0</v>
      </c>
      <c r="L54" s="508">
        <f t="shared" si="2"/>
        <v>0</v>
      </c>
    </row>
    <row r="55" spans="1:12">
      <c r="A55" s="492" t="str">
        <f t="shared" si="0"/>
        <v>341</v>
      </c>
      <c r="B55" s="504" t="s">
        <v>1953</v>
      </c>
      <c r="C55" s="504" t="s">
        <v>1954</v>
      </c>
      <c r="D55" s="505">
        <v>1307.76</v>
      </c>
      <c r="E55" s="506">
        <v>-1307.76</v>
      </c>
      <c r="F55" s="506"/>
      <c r="G55" s="506">
        <v>435.92</v>
      </c>
      <c r="H55" s="506">
        <v>1743.68</v>
      </c>
      <c r="I55" s="506">
        <v>0</v>
      </c>
      <c r="J55" s="507">
        <f t="shared" si="7"/>
        <v>0</v>
      </c>
      <c r="L55" s="508">
        <f t="shared" si="2"/>
        <v>0</v>
      </c>
    </row>
    <row r="56" spans="1:12">
      <c r="A56" s="492" t="str">
        <f t="shared" si="0"/>
        <v>342</v>
      </c>
      <c r="B56" s="504" t="s">
        <v>1955</v>
      </c>
      <c r="C56" s="504" t="s">
        <v>1956</v>
      </c>
      <c r="D56" s="505">
        <v>-32101.54</v>
      </c>
      <c r="E56" s="506">
        <v>32101.54</v>
      </c>
      <c r="F56" s="506"/>
      <c r="G56" s="506">
        <v>214039.12</v>
      </c>
      <c r="H56" s="506">
        <v>181937.58</v>
      </c>
      <c r="I56" s="506">
        <v>0</v>
      </c>
      <c r="J56" s="507">
        <f t="shared" si="7"/>
        <v>0</v>
      </c>
      <c r="L56" s="508">
        <f t="shared" si="2"/>
        <v>0</v>
      </c>
    </row>
    <row r="57" spans="1:12">
      <c r="A57" s="492" t="str">
        <f t="shared" si="0"/>
        <v>343</v>
      </c>
      <c r="B57" s="504" t="s">
        <v>1957</v>
      </c>
      <c r="C57" s="504" t="s">
        <v>1958</v>
      </c>
      <c r="D57" s="505">
        <v>0</v>
      </c>
      <c r="E57" s="506">
        <v>0</v>
      </c>
      <c r="F57" s="506"/>
      <c r="G57" s="506">
        <v>8820.2800000000007</v>
      </c>
      <c r="H57" s="506">
        <v>8820.2800000000007</v>
      </c>
      <c r="I57" s="506">
        <v>0</v>
      </c>
      <c r="J57" s="507">
        <f t="shared" si="7"/>
        <v>0</v>
      </c>
      <c r="L57" s="508">
        <f t="shared" si="2"/>
        <v>0</v>
      </c>
    </row>
    <row r="58" spans="1:12">
      <c r="A58" s="492" t="str">
        <f t="shared" si="0"/>
        <v>343</v>
      </c>
      <c r="B58" s="504" t="s">
        <v>1959</v>
      </c>
      <c r="C58" s="504" t="s">
        <v>1960</v>
      </c>
      <c r="D58" s="505">
        <v>0</v>
      </c>
      <c r="E58" s="506">
        <v>0</v>
      </c>
      <c r="F58" s="506"/>
      <c r="G58" s="506">
        <v>26718</v>
      </c>
      <c r="H58" s="506">
        <v>26718</v>
      </c>
      <c r="I58" s="506">
        <v>0</v>
      </c>
      <c r="J58" s="507">
        <f t="shared" si="7"/>
        <v>0</v>
      </c>
      <c r="L58" s="508">
        <f t="shared" si="2"/>
        <v>0</v>
      </c>
    </row>
    <row r="59" spans="1:12">
      <c r="A59" s="492" t="str">
        <f t="shared" si="0"/>
        <v>348</v>
      </c>
      <c r="B59" s="504" t="s">
        <v>1961</v>
      </c>
      <c r="C59" s="504" t="s">
        <v>1962</v>
      </c>
      <c r="D59" s="505">
        <v>1500</v>
      </c>
      <c r="E59" s="506">
        <v>1500</v>
      </c>
      <c r="F59" s="506"/>
      <c r="G59" s="506">
        <v>0</v>
      </c>
      <c r="H59" s="506">
        <v>1500</v>
      </c>
      <c r="I59" s="506">
        <v>0</v>
      </c>
      <c r="J59" s="507">
        <f t="shared" ref="J59:J64" si="8">+I59</f>
        <v>0</v>
      </c>
      <c r="L59" s="508">
        <f t="shared" si="2"/>
        <v>0</v>
      </c>
    </row>
    <row r="60" spans="1:12">
      <c r="A60" s="492" t="str">
        <f t="shared" si="0"/>
        <v>378</v>
      </c>
      <c r="B60" s="504" t="s">
        <v>1963</v>
      </c>
      <c r="C60" s="504" t="s">
        <v>1964</v>
      </c>
      <c r="D60" s="505">
        <v>59.33</v>
      </c>
      <c r="E60" s="506">
        <v>59.33</v>
      </c>
      <c r="F60" s="506"/>
      <c r="G60" s="506">
        <v>6033.57</v>
      </c>
      <c r="H60" s="506">
        <v>6092.9</v>
      </c>
      <c r="I60" s="506">
        <v>0</v>
      </c>
      <c r="J60" s="507">
        <f t="shared" si="8"/>
        <v>0</v>
      </c>
      <c r="L60" s="508">
        <f t="shared" si="2"/>
        <v>0</v>
      </c>
    </row>
    <row r="61" spans="1:12">
      <c r="A61" s="492" t="str">
        <f t="shared" si="0"/>
        <v>378</v>
      </c>
      <c r="B61" s="504" t="s">
        <v>1965</v>
      </c>
      <c r="C61" s="504" t="s">
        <v>1966</v>
      </c>
      <c r="D61" s="505">
        <v>10043</v>
      </c>
      <c r="E61" s="506">
        <v>10043</v>
      </c>
      <c r="F61" s="506"/>
      <c r="G61" s="506">
        <v>10840.96</v>
      </c>
      <c r="H61" s="506">
        <v>20883.96</v>
      </c>
      <c r="I61" s="506">
        <v>0</v>
      </c>
      <c r="J61" s="507">
        <f t="shared" si="8"/>
        <v>0</v>
      </c>
      <c r="L61" s="508">
        <f t="shared" si="2"/>
        <v>0</v>
      </c>
    </row>
    <row r="62" spans="1:12">
      <c r="A62" s="492" t="str">
        <f t="shared" si="0"/>
        <v>378</v>
      </c>
      <c r="B62" s="504" t="s">
        <v>1967</v>
      </c>
      <c r="C62" s="504" t="s">
        <v>1968</v>
      </c>
      <c r="D62" s="505"/>
      <c r="E62" s="506">
        <v>0</v>
      </c>
      <c r="F62" s="506"/>
      <c r="G62" s="506">
        <v>41995.89</v>
      </c>
      <c r="H62" s="506">
        <v>6995.89</v>
      </c>
      <c r="I62" s="506">
        <v>35000</v>
      </c>
      <c r="J62" s="507">
        <f t="shared" si="8"/>
        <v>35000</v>
      </c>
      <c r="L62" s="508">
        <f t="shared" si="2"/>
        <v>35000</v>
      </c>
    </row>
    <row r="63" spans="1:12">
      <c r="A63" s="492" t="str">
        <f t="shared" si="0"/>
        <v>378</v>
      </c>
      <c r="B63" s="504" t="s">
        <v>1969</v>
      </c>
      <c r="C63" s="504" t="s">
        <v>1970</v>
      </c>
      <c r="D63" s="505">
        <v>79878.27</v>
      </c>
      <c r="E63" s="506">
        <v>79878.27</v>
      </c>
      <c r="F63" s="506"/>
      <c r="G63" s="506">
        <v>6717517.2800000003</v>
      </c>
      <c r="H63" s="506">
        <v>6670801.96</v>
      </c>
      <c r="I63" s="506">
        <v>126593.59</v>
      </c>
      <c r="J63" s="507">
        <f t="shared" si="8"/>
        <v>126593.59</v>
      </c>
      <c r="L63" s="508">
        <f t="shared" si="2"/>
        <v>126593.59</v>
      </c>
    </row>
    <row r="64" spans="1:12">
      <c r="A64" s="492" t="str">
        <f t="shared" si="0"/>
        <v>378</v>
      </c>
      <c r="B64" s="504" t="s">
        <v>1971</v>
      </c>
      <c r="C64" s="504" t="s">
        <v>1972</v>
      </c>
      <c r="D64" s="505">
        <v>330.46</v>
      </c>
      <c r="E64" s="506">
        <v>330.46</v>
      </c>
      <c r="F64" s="506"/>
      <c r="G64" s="506">
        <v>0</v>
      </c>
      <c r="H64" s="506">
        <v>330.46</v>
      </c>
      <c r="I64" s="506">
        <v>0</v>
      </c>
      <c r="J64" s="507">
        <f t="shared" si="8"/>
        <v>0</v>
      </c>
      <c r="L64" s="508">
        <f t="shared" si="2"/>
        <v>0</v>
      </c>
    </row>
    <row r="65" spans="1:12">
      <c r="A65" s="492" t="str">
        <f t="shared" si="0"/>
        <v>379</v>
      </c>
      <c r="B65" s="504" t="s">
        <v>1973</v>
      </c>
      <c r="C65" s="504" t="s">
        <v>1974</v>
      </c>
      <c r="D65" s="505">
        <v>-8417.23</v>
      </c>
      <c r="E65" s="506">
        <v>8417.23</v>
      </c>
      <c r="F65" s="506"/>
      <c r="G65" s="506">
        <v>27079.35</v>
      </c>
      <c r="H65" s="506">
        <v>18791.48</v>
      </c>
      <c r="I65" s="506">
        <v>129.36000000000001</v>
      </c>
      <c r="J65" s="507">
        <f>-I65</f>
        <v>-129.36000000000001</v>
      </c>
      <c r="L65" s="508">
        <f t="shared" si="2"/>
        <v>-129.36000000000001</v>
      </c>
    </row>
    <row r="66" spans="1:12">
      <c r="A66" s="492" t="str">
        <f t="shared" si="0"/>
        <v>379</v>
      </c>
      <c r="B66" s="504" t="s">
        <v>1975</v>
      </c>
      <c r="C66" s="504" t="s">
        <v>1976</v>
      </c>
      <c r="D66" s="505">
        <v>-999.7</v>
      </c>
      <c r="E66" s="506">
        <v>999.7</v>
      </c>
      <c r="F66" s="506"/>
      <c r="G66" s="506">
        <v>4941.68</v>
      </c>
      <c r="H66" s="506">
        <v>3941.98</v>
      </c>
      <c r="I66" s="506">
        <v>0</v>
      </c>
      <c r="J66" s="507">
        <f>-I66</f>
        <v>0</v>
      </c>
      <c r="L66" s="508">
        <f t="shared" si="2"/>
        <v>0</v>
      </c>
    </row>
    <row r="67" spans="1:12">
      <c r="A67" s="492" t="str">
        <f t="shared" si="0"/>
        <v>379</v>
      </c>
      <c r="B67" s="504" t="s">
        <v>1977</v>
      </c>
      <c r="C67" s="504" t="s">
        <v>1978</v>
      </c>
      <c r="D67" s="505">
        <v>-2701.37</v>
      </c>
      <c r="E67" s="506">
        <v>2701.37</v>
      </c>
      <c r="F67" s="506"/>
      <c r="G67" s="506">
        <v>4410.1000000000004</v>
      </c>
      <c r="H67" s="506">
        <v>1708.73</v>
      </c>
      <c r="I67" s="506">
        <v>0</v>
      </c>
      <c r="J67" s="507">
        <f>-I67</f>
        <v>0</v>
      </c>
      <c r="L67" s="508">
        <f t="shared" si="2"/>
        <v>0</v>
      </c>
    </row>
    <row r="68" spans="1:12">
      <c r="A68" s="492" t="str">
        <f t="shared" si="0"/>
        <v>379</v>
      </c>
      <c r="B68" s="504" t="s">
        <v>1979</v>
      </c>
      <c r="C68" s="504" t="s">
        <v>1980</v>
      </c>
      <c r="D68" s="505"/>
      <c r="E68" s="506">
        <v>0</v>
      </c>
      <c r="F68" s="506"/>
      <c r="G68" s="506">
        <v>8684.06</v>
      </c>
      <c r="H68" s="506">
        <v>10385.43</v>
      </c>
      <c r="I68" s="506">
        <v>1701.37</v>
      </c>
      <c r="J68" s="507">
        <f>-I68</f>
        <v>-1701.37</v>
      </c>
      <c r="L68" s="508">
        <f t="shared" si="2"/>
        <v>-1701.37</v>
      </c>
    </row>
    <row r="69" spans="1:12">
      <c r="A69" s="492" t="str">
        <f t="shared" si="0"/>
        <v>379</v>
      </c>
      <c r="B69" s="504" t="s">
        <v>1981</v>
      </c>
      <c r="C69" s="504" t="s">
        <v>1982</v>
      </c>
      <c r="D69" s="505">
        <v>0</v>
      </c>
      <c r="E69" s="506">
        <v>1255.8</v>
      </c>
      <c r="F69" s="506">
        <f>+D69+E69</f>
        <v>1255.8</v>
      </c>
      <c r="G69" s="506">
        <v>268018.43</v>
      </c>
      <c r="H69" s="506">
        <v>266762.63</v>
      </c>
      <c r="I69" s="506">
        <v>0</v>
      </c>
      <c r="J69" s="507">
        <f>-I69</f>
        <v>0</v>
      </c>
      <c r="L69" s="508">
        <f t="shared" si="2"/>
        <v>0</v>
      </c>
    </row>
    <row r="70" spans="1:12">
      <c r="A70" s="492" t="str">
        <f t="shared" ref="A70:A133" si="9">LEFT(B70,3)</f>
        <v>381</v>
      </c>
      <c r="B70" s="504" t="s">
        <v>1983</v>
      </c>
      <c r="C70" s="504" t="s">
        <v>1984</v>
      </c>
      <c r="D70" s="505">
        <v>5647.63</v>
      </c>
      <c r="E70" s="506">
        <v>5647.63</v>
      </c>
      <c r="F70" s="506"/>
      <c r="G70" s="506">
        <v>9.85</v>
      </c>
      <c r="H70" s="506">
        <v>5647.63</v>
      </c>
      <c r="I70" s="506">
        <v>9.85</v>
      </c>
      <c r="J70" s="507">
        <f>+I70</f>
        <v>9.85</v>
      </c>
      <c r="L70" s="508">
        <f t="shared" ref="L70:L133" si="10">+J70+K70</f>
        <v>9.85</v>
      </c>
    </row>
    <row r="71" spans="1:12">
      <c r="A71" s="492" t="str">
        <f t="shared" si="9"/>
        <v>384</v>
      </c>
      <c r="B71" s="504" t="s">
        <v>1985</v>
      </c>
      <c r="C71" s="504" t="s">
        <v>1986</v>
      </c>
      <c r="D71" s="505">
        <v>-3867.33</v>
      </c>
      <c r="E71" s="506">
        <v>3867.33</v>
      </c>
      <c r="F71" s="506"/>
      <c r="G71" s="506">
        <v>3867.33</v>
      </c>
      <c r="H71" s="506">
        <v>0</v>
      </c>
      <c r="I71" s="506">
        <v>0</v>
      </c>
      <c r="J71" s="507">
        <f>-I71</f>
        <v>0</v>
      </c>
      <c r="L71" s="508">
        <f t="shared" si="10"/>
        <v>0</v>
      </c>
    </row>
    <row r="72" spans="1:12">
      <c r="A72" s="492" t="str">
        <f t="shared" si="9"/>
        <v>384</v>
      </c>
      <c r="B72" s="504" t="s">
        <v>1987</v>
      </c>
      <c r="C72" s="504" t="s">
        <v>1988</v>
      </c>
      <c r="D72" s="505">
        <v>-2586.34</v>
      </c>
      <c r="E72" s="506">
        <v>2586.34</v>
      </c>
      <c r="F72" s="506"/>
      <c r="G72" s="506">
        <v>2586.34</v>
      </c>
      <c r="H72" s="506">
        <v>0</v>
      </c>
      <c r="I72" s="506">
        <v>0</v>
      </c>
      <c r="J72" s="507">
        <f>-I72</f>
        <v>0</v>
      </c>
      <c r="L72" s="508">
        <f t="shared" si="10"/>
        <v>0</v>
      </c>
    </row>
    <row r="73" spans="1:12">
      <c r="A73" s="492" t="str">
        <f t="shared" si="9"/>
        <v>385</v>
      </c>
      <c r="B73" s="504" t="s">
        <v>1989</v>
      </c>
      <c r="C73" s="504" t="s">
        <v>1990</v>
      </c>
      <c r="D73" s="505">
        <v>3.25</v>
      </c>
      <c r="E73" s="506">
        <v>3.25</v>
      </c>
      <c r="F73" s="506"/>
      <c r="G73" s="506">
        <v>0</v>
      </c>
      <c r="H73" s="506">
        <v>3.25</v>
      </c>
      <c r="I73" s="506">
        <v>0</v>
      </c>
      <c r="J73" s="507">
        <f>+I73</f>
        <v>0</v>
      </c>
      <c r="L73" s="508">
        <f t="shared" si="10"/>
        <v>0</v>
      </c>
    </row>
    <row r="74" spans="1:12">
      <c r="A74" s="492" t="str">
        <f t="shared" si="9"/>
        <v>391</v>
      </c>
      <c r="B74" s="504" t="s">
        <v>1991</v>
      </c>
      <c r="C74" s="504" t="s">
        <v>1992</v>
      </c>
      <c r="D74" s="505">
        <v>-6519.78</v>
      </c>
      <c r="E74" s="506">
        <v>6519.78</v>
      </c>
      <c r="F74" s="506"/>
      <c r="G74" s="506">
        <v>360.59</v>
      </c>
      <c r="H74" s="506">
        <v>-224.15</v>
      </c>
      <c r="I74" s="506">
        <v>5935.04</v>
      </c>
      <c r="J74" s="507">
        <f t="shared" ref="J74:J82" si="11">-I74</f>
        <v>-5935.04</v>
      </c>
      <c r="L74" s="508">
        <f t="shared" si="10"/>
        <v>-5935.04</v>
      </c>
    </row>
    <row r="75" spans="1:12">
      <c r="A75" s="492" t="str">
        <f t="shared" si="9"/>
        <v>411</v>
      </c>
      <c r="B75" s="504" t="s">
        <v>1993</v>
      </c>
      <c r="C75" s="504" t="s">
        <v>1994</v>
      </c>
      <c r="D75" s="505">
        <v>-9958.18</v>
      </c>
      <c r="E75" s="506">
        <v>9958.18</v>
      </c>
      <c r="F75" s="506"/>
      <c r="G75" s="506">
        <v>0</v>
      </c>
      <c r="H75" s="506">
        <v>0</v>
      </c>
      <c r="I75" s="506">
        <v>9958.18</v>
      </c>
      <c r="J75" s="507">
        <f t="shared" si="11"/>
        <v>-9958.18</v>
      </c>
      <c r="L75" s="508">
        <f t="shared" si="10"/>
        <v>-9958.18</v>
      </c>
    </row>
    <row r="76" spans="1:12">
      <c r="A76" s="492" t="str">
        <f t="shared" si="9"/>
        <v>411</v>
      </c>
      <c r="B76" s="504" t="s">
        <v>1995</v>
      </c>
      <c r="C76" s="504" t="s">
        <v>1996</v>
      </c>
      <c r="D76" s="505">
        <v>-3617.9</v>
      </c>
      <c r="E76" s="506">
        <v>3617.9</v>
      </c>
      <c r="F76" s="506"/>
      <c r="G76" s="506">
        <v>0</v>
      </c>
      <c r="H76" s="506">
        <v>0</v>
      </c>
      <c r="I76" s="506">
        <v>3617.9</v>
      </c>
      <c r="J76" s="507">
        <f t="shared" si="11"/>
        <v>-3617.9</v>
      </c>
      <c r="L76" s="508">
        <f t="shared" si="10"/>
        <v>-3617.9</v>
      </c>
    </row>
    <row r="77" spans="1:12">
      <c r="A77" s="492" t="str">
        <f t="shared" si="9"/>
        <v>427</v>
      </c>
      <c r="B77" s="504" t="s">
        <v>1997</v>
      </c>
      <c r="C77" s="504" t="s">
        <v>1998</v>
      </c>
      <c r="D77" s="505">
        <v>-466.26</v>
      </c>
      <c r="E77" s="506">
        <v>466.26</v>
      </c>
      <c r="F77" s="506"/>
      <c r="G77" s="506">
        <v>11141.26</v>
      </c>
      <c r="H77" s="506">
        <v>10675</v>
      </c>
      <c r="I77" s="506">
        <v>0</v>
      </c>
      <c r="J77" s="507">
        <f t="shared" si="11"/>
        <v>0</v>
      </c>
      <c r="L77" s="508">
        <f t="shared" si="10"/>
        <v>0</v>
      </c>
    </row>
    <row r="78" spans="1:12">
      <c r="A78" s="492" t="str">
        <f t="shared" si="9"/>
        <v>428</v>
      </c>
      <c r="B78" s="504" t="s">
        <v>1999</v>
      </c>
      <c r="C78" s="504" t="s">
        <v>2000</v>
      </c>
      <c r="D78" s="505">
        <v>3173724.91</v>
      </c>
      <c r="E78" s="506">
        <v>-3173724.91</v>
      </c>
      <c r="F78" s="506"/>
      <c r="G78" s="506">
        <v>0</v>
      </c>
      <c r="H78" s="506">
        <v>149439.21</v>
      </c>
      <c r="I78" s="506">
        <v>-3024285.7</v>
      </c>
      <c r="J78" s="507">
        <f t="shared" si="11"/>
        <v>3024285.7</v>
      </c>
      <c r="L78" s="508">
        <f t="shared" si="10"/>
        <v>3024285.7</v>
      </c>
    </row>
    <row r="79" spans="1:12">
      <c r="A79" s="492" t="str">
        <f t="shared" si="9"/>
        <v>431</v>
      </c>
      <c r="B79" s="504">
        <v>431</v>
      </c>
      <c r="C79" s="504" t="s">
        <v>2001</v>
      </c>
      <c r="D79" s="505">
        <v>-149439.20999999522</v>
      </c>
      <c r="E79" s="506">
        <v>149439.21</v>
      </c>
      <c r="F79" s="506"/>
      <c r="G79" s="506">
        <v>149439.21</v>
      </c>
      <c r="H79" s="506">
        <v>0</v>
      </c>
      <c r="I79" s="506">
        <v>0</v>
      </c>
      <c r="J79" s="507">
        <f t="shared" si="11"/>
        <v>0</v>
      </c>
      <c r="L79" s="508">
        <f t="shared" si="10"/>
        <v>0</v>
      </c>
    </row>
    <row r="80" spans="1:12">
      <c r="A80" s="492" t="str">
        <f t="shared" si="9"/>
        <v>472</v>
      </c>
      <c r="B80" s="504" t="s">
        <v>2002</v>
      </c>
      <c r="C80" s="504" t="s">
        <v>2003</v>
      </c>
      <c r="D80" s="509"/>
      <c r="E80" s="506">
        <v>0</v>
      </c>
      <c r="F80" s="506"/>
      <c r="G80" s="506">
        <v>0</v>
      </c>
      <c r="H80" s="506">
        <v>17632.47</v>
      </c>
      <c r="I80" s="506">
        <v>17632.47</v>
      </c>
      <c r="J80" s="507">
        <f t="shared" si="11"/>
        <v>-17632.47</v>
      </c>
      <c r="L80" s="508">
        <f t="shared" si="10"/>
        <v>-17632.47</v>
      </c>
    </row>
    <row r="81" spans="1:12">
      <c r="A81" s="492" t="str">
        <f t="shared" si="9"/>
        <v>472</v>
      </c>
      <c r="B81" s="504" t="s">
        <v>2004</v>
      </c>
      <c r="C81" s="504" t="s">
        <v>2005</v>
      </c>
      <c r="D81" s="509"/>
      <c r="E81" s="506">
        <v>0</v>
      </c>
      <c r="F81" s="506"/>
      <c r="G81" s="506">
        <v>4838.24</v>
      </c>
      <c r="H81" s="506">
        <v>0</v>
      </c>
      <c r="I81" s="506">
        <v>-4838.24</v>
      </c>
      <c r="J81" s="507">
        <f t="shared" si="11"/>
        <v>4838.24</v>
      </c>
      <c r="L81" s="508">
        <f t="shared" si="10"/>
        <v>4838.24</v>
      </c>
    </row>
    <row r="82" spans="1:12">
      <c r="A82" s="492" t="str">
        <f t="shared" si="9"/>
        <v>472</v>
      </c>
      <c r="B82" s="504" t="s">
        <v>2006</v>
      </c>
      <c r="C82" s="504" t="s">
        <v>2007</v>
      </c>
      <c r="D82" s="509"/>
      <c r="E82" s="506">
        <v>0</v>
      </c>
      <c r="F82" s="506"/>
      <c r="G82" s="506">
        <v>12794.23</v>
      </c>
      <c r="H82" s="506">
        <v>0</v>
      </c>
      <c r="I82" s="506">
        <v>-12794.23</v>
      </c>
      <c r="J82" s="507">
        <f t="shared" si="11"/>
        <v>12794.23</v>
      </c>
      <c r="L82" s="508">
        <f t="shared" si="10"/>
        <v>12794.23</v>
      </c>
    </row>
    <row r="83" spans="1:12">
      <c r="A83" s="492" t="str">
        <f t="shared" si="9"/>
        <v>501</v>
      </c>
      <c r="B83" s="504" t="s">
        <v>2008</v>
      </c>
      <c r="C83" s="504" t="s">
        <v>2009</v>
      </c>
      <c r="D83" s="509"/>
      <c r="E83" s="494">
        <v>0</v>
      </c>
      <c r="F83" s="494"/>
      <c r="G83" s="494">
        <v>2462.84</v>
      </c>
      <c r="H83" s="494">
        <v>0</v>
      </c>
      <c r="I83" s="506">
        <v>2462.84</v>
      </c>
      <c r="J83" s="507">
        <f>+I83</f>
        <v>2462.84</v>
      </c>
      <c r="L83" s="508">
        <f t="shared" si="10"/>
        <v>2462.84</v>
      </c>
    </row>
    <row r="84" spans="1:12">
      <c r="A84" s="492" t="str">
        <f t="shared" si="9"/>
        <v>501</v>
      </c>
      <c r="B84" s="504" t="s">
        <v>2010</v>
      </c>
      <c r="C84" s="504" t="s">
        <v>2011</v>
      </c>
      <c r="D84" s="509"/>
      <c r="E84" s="494">
        <v>0</v>
      </c>
      <c r="F84" s="494"/>
      <c r="G84" s="494">
        <v>3590.46</v>
      </c>
      <c r="H84" s="494">
        <v>0</v>
      </c>
      <c r="I84" s="506">
        <v>3590.46</v>
      </c>
      <c r="J84" s="507">
        <f t="shared" ref="J84:J147" si="12">+I84</f>
        <v>3590.46</v>
      </c>
      <c r="L84" s="508">
        <f t="shared" si="10"/>
        <v>3590.46</v>
      </c>
    </row>
    <row r="85" spans="1:12">
      <c r="A85" s="492" t="str">
        <f t="shared" si="9"/>
        <v>501</v>
      </c>
      <c r="B85" s="504" t="s">
        <v>2012</v>
      </c>
      <c r="C85" s="504" t="s">
        <v>2013</v>
      </c>
      <c r="D85" s="509"/>
      <c r="E85" s="494">
        <v>0</v>
      </c>
      <c r="F85" s="494"/>
      <c r="G85" s="494">
        <v>2845.96</v>
      </c>
      <c r="H85" s="494">
        <v>0</v>
      </c>
      <c r="I85" s="506">
        <v>2845.96</v>
      </c>
      <c r="J85" s="507">
        <f t="shared" si="12"/>
        <v>2845.96</v>
      </c>
      <c r="L85" s="508">
        <f t="shared" si="10"/>
        <v>2845.96</v>
      </c>
    </row>
    <row r="86" spans="1:12">
      <c r="A86" s="492" t="str">
        <f t="shared" si="9"/>
        <v>501</v>
      </c>
      <c r="B86" s="504" t="s">
        <v>2014</v>
      </c>
      <c r="C86" s="504" t="s">
        <v>2015</v>
      </c>
      <c r="D86" s="509"/>
      <c r="E86" s="494">
        <v>0</v>
      </c>
      <c r="F86" s="494"/>
      <c r="G86" s="494">
        <v>177.28</v>
      </c>
      <c r="H86" s="494">
        <v>0</v>
      </c>
      <c r="I86" s="506">
        <v>177.28</v>
      </c>
      <c r="J86" s="507">
        <f t="shared" si="12"/>
        <v>177.28</v>
      </c>
      <c r="L86" s="508">
        <f t="shared" si="10"/>
        <v>177.28</v>
      </c>
    </row>
    <row r="87" spans="1:12">
      <c r="A87" s="492" t="str">
        <f t="shared" si="9"/>
        <v>501</v>
      </c>
      <c r="B87" s="504" t="s">
        <v>2016</v>
      </c>
      <c r="C87" s="504" t="s">
        <v>2017</v>
      </c>
      <c r="D87" s="509"/>
      <c r="E87" s="494">
        <v>0</v>
      </c>
      <c r="F87" s="494"/>
      <c r="G87" s="494">
        <v>267.86</v>
      </c>
      <c r="H87" s="494">
        <v>0</v>
      </c>
      <c r="I87" s="506">
        <v>267.86</v>
      </c>
      <c r="J87" s="507">
        <f t="shared" si="12"/>
        <v>267.86</v>
      </c>
      <c r="L87" s="508">
        <f t="shared" si="10"/>
        <v>267.86</v>
      </c>
    </row>
    <row r="88" spans="1:12">
      <c r="A88" s="492" t="str">
        <f t="shared" si="9"/>
        <v>501</v>
      </c>
      <c r="B88" s="504" t="s">
        <v>2018</v>
      </c>
      <c r="C88" s="504" t="s">
        <v>2019</v>
      </c>
      <c r="D88" s="509"/>
      <c r="E88" s="494">
        <v>0</v>
      </c>
      <c r="F88" s="494"/>
      <c r="G88" s="494">
        <v>3687.07</v>
      </c>
      <c r="H88" s="494">
        <v>0</v>
      </c>
      <c r="I88" s="506">
        <v>3687.07</v>
      </c>
      <c r="J88" s="507">
        <f t="shared" si="12"/>
        <v>3687.07</v>
      </c>
      <c r="L88" s="508">
        <f t="shared" si="10"/>
        <v>3687.07</v>
      </c>
    </row>
    <row r="89" spans="1:12">
      <c r="A89" s="492" t="str">
        <f t="shared" si="9"/>
        <v>501</v>
      </c>
      <c r="B89" s="504" t="s">
        <v>2020</v>
      </c>
      <c r="C89" s="504" t="s">
        <v>2021</v>
      </c>
      <c r="D89" s="509"/>
      <c r="E89" s="494">
        <v>0</v>
      </c>
      <c r="F89" s="494"/>
      <c r="G89" s="494">
        <v>9279.5499999999993</v>
      </c>
      <c r="H89" s="494">
        <v>0</v>
      </c>
      <c r="I89" s="506">
        <v>9279.5499999999993</v>
      </c>
      <c r="J89" s="507">
        <f t="shared" si="12"/>
        <v>9279.5499999999993</v>
      </c>
      <c r="L89" s="508">
        <f t="shared" si="10"/>
        <v>9279.5499999999993</v>
      </c>
    </row>
    <row r="90" spans="1:12">
      <c r="A90" s="492" t="str">
        <f t="shared" si="9"/>
        <v>501</v>
      </c>
      <c r="B90" s="504" t="s">
        <v>2022</v>
      </c>
      <c r="C90" s="504" t="s">
        <v>2023</v>
      </c>
      <c r="D90" s="509"/>
      <c r="E90" s="494">
        <v>0</v>
      </c>
      <c r="F90" s="494"/>
      <c r="G90" s="494">
        <v>335.98</v>
      </c>
      <c r="H90" s="494">
        <v>0</v>
      </c>
      <c r="I90" s="506">
        <v>335.98</v>
      </c>
      <c r="J90" s="507">
        <f t="shared" si="12"/>
        <v>335.98</v>
      </c>
      <c r="L90" s="508">
        <f t="shared" si="10"/>
        <v>335.98</v>
      </c>
    </row>
    <row r="91" spans="1:12">
      <c r="A91" s="492" t="str">
        <f t="shared" si="9"/>
        <v>501</v>
      </c>
      <c r="B91" s="504" t="s">
        <v>2024</v>
      </c>
      <c r="C91" s="504" t="s">
        <v>2025</v>
      </c>
      <c r="D91" s="509"/>
      <c r="E91" s="494">
        <v>0</v>
      </c>
      <c r="F91" s="494"/>
      <c r="G91" s="494">
        <v>239583.35</v>
      </c>
      <c r="H91" s="494">
        <v>0</v>
      </c>
      <c r="I91" s="506">
        <v>239583.35</v>
      </c>
      <c r="J91" s="507">
        <f t="shared" si="12"/>
        <v>239583.35</v>
      </c>
      <c r="L91" s="508">
        <f t="shared" si="10"/>
        <v>239583.35</v>
      </c>
    </row>
    <row r="92" spans="1:12">
      <c r="A92" s="492" t="str">
        <f t="shared" si="9"/>
        <v>501</v>
      </c>
      <c r="B92" s="504" t="s">
        <v>2026</v>
      </c>
      <c r="C92" s="504" t="s">
        <v>2027</v>
      </c>
      <c r="D92" s="509"/>
      <c r="E92" s="494">
        <v>0</v>
      </c>
      <c r="F92" s="494"/>
      <c r="G92" s="494">
        <v>144697.18</v>
      </c>
      <c r="H92" s="494">
        <v>0</v>
      </c>
      <c r="I92" s="506">
        <v>144697.18</v>
      </c>
      <c r="J92" s="507">
        <f t="shared" si="12"/>
        <v>144697.18</v>
      </c>
      <c r="L92" s="508">
        <f t="shared" si="10"/>
        <v>144697.18</v>
      </c>
    </row>
    <row r="93" spans="1:12">
      <c r="A93" s="492" t="str">
        <f t="shared" si="9"/>
        <v>501</v>
      </c>
      <c r="B93" s="504" t="s">
        <v>2028</v>
      </c>
      <c r="C93" s="504" t="s">
        <v>2029</v>
      </c>
      <c r="D93" s="509"/>
      <c r="E93" s="494">
        <v>0</v>
      </c>
      <c r="F93" s="494"/>
      <c r="G93" s="494">
        <v>767.06</v>
      </c>
      <c r="H93" s="494">
        <v>0</v>
      </c>
      <c r="I93" s="506">
        <v>767.06</v>
      </c>
      <c r="J93" s="507">
        <f t="shared" si="12"/>
        <v>767.06</v>
      </c>
      <c r="L93" s="508">
        <f t="shared" si="10"/>
        <v>767.06</v>
      </c>
    </row>
    <row r="94" spans="1:12">
      <c r="A94" s="492" t="str">
        <f t="shared" si="9"/>
        <v>501</v>
      </c>
      <c r="B94" s="504" t="s">
        <v>2030</v>
      </c>
      <c r="C94" s="504" t="s">
        <v>2031</v>
      </c>
      <c r="D94" s="509"/>
      <c r="E94" s="494">
        <v>0</v>
      </c>
      <c r="F94" s="494"/>
      <c r="G94" s="494">
        <v>3661.7</v>
      </c>
      <c r="H94" s="494">
        <v>0</v>
      </c>
      <c r="I94" s="506">
        <v>3661.7</v>
      </c>
      <c r="J94" s="507">
        <f t="shared" si="12"/>
        <v>3661.7</v>
      </c>
      <c r="L94" s="508">
        <f t="shared" si="10"/>
        <v>3661.7</v>
      </c>
    </row>
    <row r="95" spans="1:12">
      <c r="A95" s="492" t="str">
        <f t="shared" si="9"/>
        <v>501</v>
      </c>
      <c r="B95" s="504" t="s">
        <v>2032</v>
      </c>
      <c r="C95" s="504" t="s">
        <v>2033</v>
      </c>
      <c r="D95" s="509"/>
      <c r="E95" s="494">
        <v>0</v>
      </c>
      <c r="F95" s="494"/>
      <c r="G95" s="494">
        <v>42861.99</v>
      </c>
      <c r="H95" s="494">
        <v>0</v>
      </c>
      <c r="I95" s="506">
        <v>42861.99</v>
      </c>
      <c r="J95" s="507">
        <f t="shared" si="12"/>
        <v>42861.99</v>
      </c>
      <c r="L95" s="508">
        <f t="shared" si="10"/>
        <v>42861.99</v>
      </c>
    </row>
    <row r="96" spans="1:12">
      <c r="A96" s="492" t="str">
        <f t="shared" si="9"/>
        <v>501</v>
      </c>
      <c r="B96" s="504" t="s">
        <v>2034</v>
      </c>
      <c r="C96" s="504" t="s">
        <v>2035</v>
      </c>
      <c r="D96" s="509"/>
      <c r="E96" s="494">
        <v>0</v>
      </c>
      <c r="F96" s="494"/>
      <c r="G96" s="494">
        <v>311.99</v>
      </c>
      <c r="H96" s="494">
        <v>0</v>
      </c>
      <c r="I96" s="506">
        <v>311.99</v>
      </c>
      <c r="J96" s="507">
        <f t="shared" si="12"/>
        <v>311.99</v>
      </c>
      <c r="L96" s="508">
        <f t="shared" si="10"/>
        <v>311.99</v>
      </c>
    </row>
    <row r="97" spans="1:12">
      <c r="A97" s="492" t="str">
        <f t="shared" si="9"/>
        <v>501</v>
      </c>
      <c r="B97" s="504" t="s">
        <v>2036</v>
      </c>
      <c r="C97" s="504" t="s">
        <v>2037</v>
      </c>
      <c r="D97" s="509"/>
      <c r="E97" s="494">
        <v>0</v>
      </c>
      <c r="F97" s="494"/>
      <c r="G97" s="494">
        <v>11782.99</v>
      </c>
      <c r="H97" s="494">
        <v>0</v>
      </c>
      <c r="I97" s="506">
        <v>11782.99</v>
      </c>
      <c r="J97" s="507">
        <f t="shared" si="12"/>
        <v>11782.99</v>
      </c>
      <c r="L97" s="508">
        <f t="shared" si="10"/>
        <v>11782.99</v>
      </c>
    </row>
    <row r="98" spans="1:12">
      <c r="A98" s="492" t="str">
        <f t="shared" si="9"/>
        <v>501</v>
      </c>
      <c r="B98" s="504" t="s">
        <v>2038</v>
      </c>
      <c r="C98" s="504" t="s">
        <v>2039</v>
      </c>
      <c r="D98" s="509"/>
      <c r="E98" s="494">
        <v>0</v>
      </c>
      <c r="F98" s="494"/>
      <c r="G98" s="494">
        <v>156522.07</v>
      </c>
      <c r="H98" s="494">
        <v>0</v>
      </c>
      <c r="I98" s="506">
        <v>156522.07</v>
      </c>
      <c r="J98" s="507">
        <f t="shared" si="12"/>
        <v>156522.07</v>
      </c>
      <c r="L98" s="508">
        <f t="shared" si="10"/>
        <v>156522.07</v>
      </c>
    </row>
    <row r="99" spans="1:12">
      <c r="A99" s="492" t="str">
        <f t="shared" si="9"/>
        <v>501</v>
      </c>
      <c r="B99" s="504" t="s">
        <v>2040</v>
      </c>
      <c r="C99" s="504" t="s">
        <v>2041</v>
      </c>
      <c r="D99" s="509"/>
      <c r="E99" s="494">
        <v>0</v>
      </c>
      <c r="F99" s="494"/>
      <c r="G99" s="494">
        <v>16312.12</v>
      </c>
      <c r="H99" s="494">
        <v>0</v>
      </c>
      <c r="I99" s="506">
        <v>16312.12</v>
      </c>
      <c r="J99" s="507">
        <f t="shared" si="12"/>
        <v>16312.12</v>
      </c>
      <c r="L99" s="508">
        <f t="shared" si="10"/>
        <v>16312.12</v>
      </c>
    </row>
    <row r="100" spans="1:12">
      <c r="A100" s="492" t="str">
        <f t="shared" si="9"/>
        <v>501</v>
      </c>
      <c r="B100" s="504" t="s">
        <v>2042</v>
      </c>
      <c r="C100" s="504" t="s">
        <v>2043</v>
      </c>
      <c r="D100" s="509"/>
      <c r="E100" s="494">
        <v>0</v>
      </c>
      <c r="F100" s="494"/>
      <c r="G100" s="494">
        <v>313985.36</v>
      </c>
      <c r="H100" s="494">
        <v>0</v>
      </c>
      <c r="I100" s="506">
        <v>313985.36</v>
      </c>
      <c r="J100" s="507">
        <f t="shared" si="12"/>
        <v>313985.36</v>
      </c>
      <c r="L100" s="508">
        <f t="shared" si="10"/>
        <v>313985.36</v>
      </c>
    </row>
    <row r="101" spans="1:12">
      <c r="A101" s="492" t="str">
        <f t="shared" si="9"/>
        <v>501</v>
      </c>
      <c r="B101" s="504" t="s">
        <v>2044</v>
      </c>
      <c r="C101" s="504" t="s">
        <v>2045</v>
      </c>
      <c r="D101" s="509"/>
      <c r="E101" s="494">
        <v>0</v>
      </c>
      <c r="F101" s="494"/>
      <c r="G101" s="494">
        <v>4429.3599999999997</v>
      </c>
      <c r="H101" s="494">
        <v>0</v>
      </c>
      <c r="I101" s="506">
        <v>4429.3599999999997</v>
      </c>
      <c r="J101" s="507">
        <f t="shared" si="12"/>
        <v>4429.3599999999997</v>
      </c>
      <c r="L101" s="508">
        <f t="shared" si="10"/>
        <v>4429.3599999999997</v>
      </c>
    </row>
    <row r="102" spans="1:12">
      <c r="A102" s="492" t="str">
        <f t="shared" si="9"/>
        <v>501</v>
      </c>
      <c r="B102" s="504" t="s">
        <v>2046</v>
      </c>
      <c r="C102" s="504" t="s">
        <v>2047</v>
      </c>
      <c r="D102" s="509"/>
      <c r="E102" s="494">
        <v>0</v>
      </c>
      <c r="F102" s="494"/>
      <c r="G102" s="494">
        <v>36121.129999999997</v>
      </c>
      <c r="H102" s="494">
        <v>0</v>
      </c>
      <c r="I102" s="506">
        <v>36121.129999999997</v>
      </c>
      <c r="J102" s="507">
        <f t="shared" si="12"/>
        <v>36121.129999999997</v>
      </c>
      <c r="L102" s="508">
        <f t="shared" si="10"/>
        <v>36121.129999999997</v>
      </c>
    </row>
    <row r="103" spans="1:12">
      <c r="A103" s="492" t="str">
        <f t="shared" si="9"/>
        <v>501</v>
      </c>
      <c r="B103" s="504" t="s">
        <v>2048</v>
      </c>
      <c r="C103" s="504" t="s">
        <v>2049</v>
      </c>
      <c r="D103" s="509"/>
      <c r="E103" s="494">
        <v>0</v>
      </c>
      <c r="F103" s="494"/>
      <c r="G103" s="494">
        <v>14388.1</v>
      </c>
      <c r="H103" s="494">
        <v>0</v>
      </c>
      <c r="I103" s="506">
        <v>14388.1</v>
      </c>
      <c r="J103" s="507">
        <f t="shared" si="12"/>
        <v>14388.1</v>
      </c>
      <c r="L103" s="508">
        <f t="shared" si="10"/>
        <v>14388.1</v>
      </c>
    </row>
    <row r="104" spans="1:12">
      <c r="A104" s="492" t="str">
        <f t="shared" si="9"/>
        <v>501</v>
      </c>
      <c r="B104" s="504" t="s">
        <v>2050</v>
      </c>
      <c r="C104" s="504" t="s">
        <v>2051</v>
      </c>
      <c r="D104" s="509"/>
      <c r="E104" s="494">
        <v>0</v>
      </c>
      <c r="F104" s="494"/>
      <c r="G104" s="494">
        <v>169054.75</v>
      </c>
      <c r="H104" s="494">
        <v>0</v>
      </c>
      <c r="I104" s="506">
        <v>169054.75</v>
      </c>
      <c r="J104" s="507">
        <f t="shared" si="12"/>
        <v>169054.75</v>
      </c>
      <c r="L104" s="508">
        <f t="shared" si="10"/>
        <v>169054.75</v>
      </c>
    </row>
    <row r="105" spans="1:12">
      <c r="A105" s="492" t="str">
        <f t="shared" si="9"/>
        <v>501</v>
      </c>
      <c r="B105" s="504" t="s">
        <v>2052</v>
      </c>
      <c r="C105" s="504" t="s">
        <v>2053</v>
      </c>
      <c r="D105" s="509"/>
      <c r="E105" s="494">
        <v>0</v>
      </c>
      <c r="F105" s="494"/>
      <c r="G105" s="494">
        <v>72767.759999999995</v>
      </c>
      <c r="H105" s="494">
        <v>0</v>
      </c>
      <c r="I105" s="506">
        <v>72767.759999999995</v>
      </c>
      <c r="J105" s="507">
        <f t="shared" si="12"/>
        <v>72767.759999999995</v>
      </c>
      <c r="L105" s="508">
        <f t="shared" si="10"/>
        <v>72767.759999999995</v>
      </c>
    </row>
    <row r="106" spans="1:12">
      <c r="A106" s="492" t="str">
        <f t="shared" si="9"/>
        <v>501</v>
      </c>
      <c r="B106" s="504" t="s">
        <v>2054</v>
      </c>
      <c r="C106" s="504" t="s">
        <v>2055</v>
      </c>
      <c r="D106" s="509"/>
      <c r="E106" s="494">
        <v>0</v>
      </c>
      <c r="F106" s="494"/>
      <c r="G106" s="494">
        <v>3573.29</v>
      </c>
      <c r="H106" s="494">
        <v>0</v>
      </c>
      <c r="I106" s="506">
        <v>3573.29</v>
      </c>
      <c r="J106" s="507">
        <f t="shared" si="12"/>
        <v>3573.29</v>
      </c>
      <c r="L106" s="508">
        <f t="shared" si="10"/>
        <v>3573.29</v>
      </c>
    </row>
    <row r="107" spans="1:12">
      <c r="A107" s="492" t="str">
        <f t="shared" si="9"/>
        <v>501</v>
      </c>
      <c r="B107" s="504" t="s">
        <v>2056</v>
      </c>
      <c r="C107" s="504" t="s">
        <v>2057</v>
      </c>
      <c r="D107" s="509"/>
      <c r="E107" s="494">
        <v>0</v>
      </c>
      <c r="F107" s="494"/>
      <c r="G107" s="494">
        <v>17878.099999999999</v>
      </c>
      <c r="H107" s="494">
        <v>0</v>
      </c>
      <c r="I107" s="506">
        <v>17878.099999999999</v>
      </c>
      <c r="J107" s="507">
        <f t="shared" si="12"/>
        <v>17878.099999999999</v>
      </c>
      <c r="L107" s="508">
        <f t="shared" si="10"/>
        <v>17878.099999999999</v>
      </c>
    </row>
    <row r="108" spans="1:12">
      <c r="A108" s="492" t="str">
        <f t="shared" si="9"/>
        <v>501</v>
      </c>
      <c r="B108" s="504" t="s">
        <v>2058</v>
      </c>
      <c r="C108" s="504" t="s">
        <v>2059</v>
      </c>
      <c r="D108" s="509"/>
      <c r="E108" s="494">
        <v>0</v>
      </c>
      <c r="F108" s="494"/>
      <c r="G108" s="494">
        <v>10955.94</v>
      </c>
      <c r="H108" s="494">
        <v>0</v>
      </c>
      <c r="I108" s="506">
        <v>10955.94</v>
      </c>
      <c r="J108" s="507">
        <f t="shared" si="12"/>
        <v>10955.94</v>
      </c>
      <c r="L108" s="508">
        <f t="shared" si="10"/>
        <v>10955.94</v>
      </c>
    </row>
    <row r="109" spans="1:12">
      <c r="A109" s="492" t="str">
        <f t="shared" si="9"/>
        <v>501</v>
      </c>
      <c r="B109" s="504" t="s">
        <v>2060</v>
      </c>
      <c r="C109" s="504" t="s">
        <v>2061</v>
      </c>
      <c r="D109" s="509"/>
      <c r="E109" s="494">
        <v>0</v>
      </c>
      <c r="F109" s="494"/>
      <c r="G109" s="494">
        <v>2099.14</v>
      </c>
      <c r="H109" s="494">
        <v>0</v>
      </c>
      <c r="I109" s="506">
        <v>2099.14</v>
      </c>
      <c r="J109" s="507">
        <f t="shared" si="12"/>
        <v>2099.14</v>
      </c>
      <c r="L109" s="508">
        <f t="shared" si="10"/>
        <v>2099.14</v>
      </c>
    </row>
    <row r="110" spans="1:12">
      <c r="A110" s="492" t="str">
        <f t="shared" si="9"/>
        <v>501</v>
      </c>
      <c r="B110" s="504" t="s">
        <v>2062</v>
      </c>
      <c r="C110" s="504" t="s">
        <v>2063</v>
      </c>
      <c r="D110" s="509"/>
      <c r="E110" s="494">
        <v>0</v>
      </c>
      <c r="F110" s="494"/>
      <c r="G110" s="494">
        <v>10486.85</v>
      </c>
      <c r="H110" s="494">
        <v>0</v>
      </c>
      <c r="I110" s="506">
        <v>10486.85</v>
      </c>
      <c r="J110" s="507">
        <f t="shared" si="12"/>
        <v>10486.85</v>
      </c>
      <c r="L110" s="508">
        <f t="shared" si="10"/>
        <v>10486.85</v>
      </c>
    </row>
    <row r="111" spans="1:12">
      <c r="A111" s="492" t="str">
        <f t="shared" si="9"/>
        <v>501</v>
      </c>
      <c r="B111" s="504" t="s">
        <v>2064</v>
      </c>
      <c r="C111" s="504" t="s">
        <v>2065</v>
      </c>
      <c r="D111" s="509"/>
      <c r="E111" s="494">
        <v>0</v>
      </c>
      <c r="F111" s="494"/>
      <c r="G111" s="494">
        <v>5801.26</v>
      </c>
      <c r="H111" s="494">
        <v>0</v>
      </c>
      <c r="I111" s="506">
        <v>5801.26</v>
      </c>
      <c r="J111" s="507">
        <f t="shared" si="12"/>
        <v>5801.26</v>
      </c>
      <c r="L111" s="508">
        <f t="shared" si="10"/>
        <v>5801.26</v>
      </c>
    </row>
    <row r="112" spans="1:12">
      <c r="A112" s="492" t="str">
        <f t="shared" si="9"/>
        <v>501</v>
      </c>
      <c r="B112" s="504" t="s">
        <v>2066</v>
      </c>
      <c r="C112" s="504" t="s">
        <v>2067</v>
      </c>
      <c r="D112" s="509"/>
      <c r="E112" s="494">
        <v>0</v>
      </c>
      <c r="F112" s="494"/>
      <c r="G112" s="494">
        <v>1049.5899999999999</v>
      </c>
      <c r="H112" s="494">
        <v>0</v>
      </c>
      <c r="I112" s="506">
        <v>1049.5899999999999</v>
      </c>
      <c r="J112" s="507">
        <f t="shared" si="12"/>
        <v>1049.5899999999999</v>
      </c>
      <c r="L112" s="508">
        <f t="shared" si="10"/>
        <v>1049.5899999999999</v>
      </c>
    </row>
    <row r="113" spans="1:12">
      <c r="A113" s="492" t="str">
        <f t="shared" si="9"/>
        <v>501</v>
      </c>
      <c r="B113" s="504" t="s">
        <v>2068</v>
      </c>
      <c r="C113" s="504" t="s">
        <v>2069</v>
      </c>
      <c r="D113" s="509"/>
      <c r="E113" s="494">
        <v>0</v>
      </c>
      <c r="F113" s="494"/>
      <c r="G113" s="494">
        <v>7134.02</v>
      </c>
      <c r="H113" s="494">
        <v>0</v>
      </c>
      <c r="I113" s="506">
        <v>7134.02</v>
      </c>
      <c r="J113" s="507">
        <f t="shared" si="12"/>
        <v>7134.02</v>
      </c>
      <c r="L113" s="508">
        <f t="shared" si="10"/>
        <v>7134.02</v>
      </c>
    </row>
    <row r="114" spans="1:12">
      <c r="A114" s="492" t="str">
        <f t="shared" si="9"/>
        <v>501</v>
      </c>
      <c r="B114" s="504" t="s">
        <v>2070</v>
      </c>
      <c r="C114" s="504" t="s">
        <v>2071</v>
      </c>
      <c r="D114" s="509"/>
      <c r="E114" s="494">
        <v>0</v>
      </c>
      <c r="F114" s="494"/>
      <c r="G114" s="494">
        <v>18531.66</v>
      </c>
      <c r="H114" s="494">
        <v>0</v>
      </c>
      <c r="I114" s="506">
        <v>18531.66</v>
      </c>
      <c r="J114" s="507">
        <f t="shared" si="12"/>
        <v>18531.66</v>
      </c>
      <c r="L114" s="508">
        <f t="shared" si="10"/>
        <v>18531.66</v>
      </c>
    </row>
    <row r="115" spans="1:12">
      <c r="A115" s="492" t="str">
        <f t="shared" si="9"/>
        <v>501</v>
      </c>
      <c r="B115" s="504" t="s">
        <v>2072</v>
      </c>
      <c r="C115" s="504" t="s">
        <v>2073</v>
      </c>
      <c r="D115" s="509"/>
      <c r="E115" s="494">
        <v>0</v>
      </c>
      <c r="F115" s="494"/>
      <c r="G115" s="494">
        <v>1956.95</v>
      </c>
      <c r="H115" s="494">
        <v>0</v>
      </c>
      <c r="I115" s="506">
        <v>1956.95</v>
      </c>
      <c r="J115" s="507">
        <f t="shared" si="12"/>
        <v>1956.95</v>
      </c>
      <c r="L115" s="508">
        <f t="shared" si="10"/>
        <v>1956.95</v>
      </c>
    </row>
    <row r="116" spans="1:12">
      <c r="A116" s="492" t="str">
        <f t="shared" si="9"/>
        <v>501</v>
      </c>
      <c r="B116" s="504" t="s">
        <v>2074</v>
      </c>
      <c r="C116" s="504" t="s">
        <v>2075</v>
      </c>
      <c r="D116" s="509"/>
      <c r="E116" s="494">
        <v>0</v>
      </c>
      <c r="F116" s="494"/>
      <c r="G116" s="494">
        <v>206.35</v>
      </c>
      <c r="H116" s="494">
        <v>0</v>
      </c>
      <c r="I116" s="506">
        <v>206.35</v>
      </c>
      <c r="J116" s="507">
        <f t="shared" si="12"/>
        <v>206.35</v>
      </c>
      <c r="L116" s="508">
        <f t="shared" si="10"/>
        <v>206.35</v>
      </c>
    </row>
    <row r="117" spans="1:12">
      <c r="A117" s="492" t="str">
        <f t="shared" si="9"/>
        <v>501</v>
      </c>
      <c r="B117" s="504" t="s">
        <v>2076</v>
      </c>
      <c r="C117" s="504" t="s">
        <v>2077</v>
      </c>
      <c r="D117" s="509"/>
      <c r="E117" s="494">
        <v>0</v>
      </c>
      <c r="F117" s="494"/>
      <c r="G117" s="494">
        <v>519.34</v>
      </c>
      <c r="H117" s="494">
        <v>0</v>
      </c>
      <c r="I117" s="506">
        <v>519.34</v>
      </c>
      <c r="J117" s="507">
        <f t="shared" si="12"/>
        <v>519.34</v>
      </c>
      <c r="L117" s="508">
        <f t="shared" si="10"/>
        <v>519.34</v>
      </c>
    </row>
    <row r="118" spans="1:12">
      <c r="A118" s="492" t="str">
        <f t="shared" si="9"/>
        <v>501</v>
      </c>
      <c r="B118" s="504" t="s">
        <v>2078</v>
      </c>
      <c r="C118" s="504" t="s">
        <v>2079</v>
      </c>
      <c r="D118" s="509"/>
      <c r="E118" s="494">
        <v>0</v>
      </c>
      <c r="F118" s="494"/>
      <c r="G118" s="494">
        <v>18.8</v>
      </c>
      <c r="H118" s="494">
        <v>0</v>
      </c>
      <c r="I118" s="506">
        <v>18.8</v>
      </c>
      <c r="J118" s="507">
        <f t="shared" si="12"/>
        <v>18.8</v>
      </c>
      <c r="L118" s="508">
        <f t="shared" si="10"/>
        <v>18.8</v>
      </c>
    </row>
    <row r="119" spans="1:12">
      <c r="A119" s="492" t="str">
        <f t="shared" si="9"/>
        <v>501</v>
      </c>
      <c r="B119" s="504" t="s">
        <v>2080</v>
      </c>
      <c r="C119" s="504" t="s">
        <v>2081</v>
      </c>
      <c r="D119" s="509"/>
      <c r="E119" s="494">
        <v>0</v>
      </c>
      <c r="F119" s="494"/>
      <c r="G119" s="494">
        <v>38.35</v>
      </c>
      <c r="H119" s="494">
        <v>0</v>
      </c>
      <c r="I119" s="506">
        <v>38.35</v>
      </c>
      <c r="J119" s="507">
        <f t="shared" si="12"/>
        <v>38.35</v>
      </c>
      <c r="L119" s="508">
        <f t="shared" si="10"/>
        <v>38.35</v>
      </c>
    </row>
    <row r="120" spans="1:12">
      <c r="A120" s="492" t="str">
        <f t="shared" si="9"/>
        <v>501</v>
      </c>
      <c r="B120" s="504" t="s">
        <v>2082</v>
      </c>
      <c r="C120" s="504" t="s">
        <v>2083</v>
      </c>
      <c r="D120" s="509"/>
      <c r="E120" s="494">
        <v>0</v>
      </c>
      <c r="F120" s="494"/>
      <c r="G120" s="494">
        <v>62.73</v>
      </c>
      <c r="H120" s="494">
        <v>0</v>
      </c>
      <c r="I120" s="506">
        <v>62.73</v>
      </c>
      <c r="J120" s="507">
        <f t="shared" si="12"/>
        <v>62.73</v>
      </c>
      <c r="L120" s="508">
        <f t="shared" si="10"/>
        <v>62.73</v>
      </c>
    </row>
    <row r="121" spans="1:12">
      <c r="A121" s="492" t="str">
        <f t="shared" si="9"/>
        <v>501</v>
      </c>
      <c r="B121" s="504" t="s">
        <v>2084</v>
      </c>
      <c r="C121" s="504" t="s">
        <v>2085</v>
      </c>
      <c r="D121" s="509"/>
      <c r="E121" s="494">
        <v>0</v>
      </c>
      <c r="F121" s="494"/>
      <c r="G121" s="494">
        <v>60.58</v>
      </c>
      <c r="H121" s="494">
        <v>0</v>
      </c>
      <c r="I121" s="506">
        <v>60.58</v>
      </c>
      <c r="J121" s="507">
        <f t="shared" si="12"/>
        <v>60.58</v>
      </c>
      <c r="L121" s="508">
        <f t="shared" si="10"/>
        <v>60.58</v>
      </c>
    </row>
    <row r="122" spans="1:12">
      <c r="A122" s="492" t="str">
        <f t="shared" si="9"/>
        <v>501</v>
      </c>
      <c r="B122" s="504" t="s">
        <v>2086</v>
      </c>
      <c r="C122" s="504" t="s">
        <v>2087</v>
      </c>
      <c r="D122" s="509"/>
      <c r="E122" s="494">
        <v>0</v>
      </c>
      <c r="F122" s="494"/>
      <c r="G122" s="494">
        <v>529.27</v>
      </c>
      <c r="H122" s="494">
        <v>0</v>
      </c>
      <c r="I122" s="506">
        <v>529.27</v>
      </c>
      <c r="J122" s="507">
        <f t="shared" si="12"/>
        <v>529.27</v>
      </c>
      <c r="L122" s="508">
        <f t="shared" si="10"/>
        <v>529.27</v>
      </c>
    </row>
    <row r="123" spans="1:12">
      <c r="A123" s="492" t="str">
        <f t="shared" si="9"/>
        <v>501</v>
      </c>
      <c r="B123" s="504" t="s">
        <v>2088</v>
      </c>
      <c r="C123" s="504" t="s">
        <v>2089</v>
      </c>
      <c r="D123" s="509"/>
      <c r="E123" s="494">
        <v>0</v>
      </c>
      <c r="F123" s="494"/>
      <c r="G123" s="494">
        <v>60.25</v>
      </c>
      <c r="H123" s="494">
        <v>0</v>
      </c>
      <c r="I123" s="506">
        <v>60.25</v>
      </c>
      <c r="J123" s="507">
        <f t="shared" si="12"/>
        <v>60.25</v>
      </c>
      <c r="L123" s="508">
        <f t="shared" si="10"/>
        <v>60.25</v>
      </c>
    </row>
    <row r="124" spans="1:12">
      <c r="A124" s="492" t="str">
        <f t="shared" si="9"/>
        <v>501</v>
      </c>
      <c r="B124" s="504" t="s">
        <v>2090</v>
      </c>
      <c r="C124" s="504" t="s">
        <v>2091</v>
      </c>
      <c r="D124" s="509"/>
      <c r="E124" s="494">
        <v>0</v>
      </c>
      <c r="F124" s="494"/>
      <c r="G124" s="494">
        <v>45.89</v>
      </c>
      <c r="H124" s="494">
        <v>0</v>
      </c>
      <c r="I124" s="506">
        <v>45.89</v>
      </c>
      <c r="J124" s="507">
        <f t="shared" si="12"/>
        <v>45.89</v>
      </c>
      <c r="L124" s="508">
        <f t="shared" si="10"/>
        <v>45.89</v>
      </c>
    </row>
    <row r="125" spans="1:12">
      <c r="A125" s="492" t="str">
        <f t="shared" si="9"/>
        <v>501</v>
      </c>
      <c r="B125" s="504" t="s">
        <v>2092</v>
      </c>
      <c r="C125" s="504" t="s">
        <v>2093</v>
      </c>
      <c r="D125" s="509"/>
      <c r="E125" s="494">
        <v>0</v>
      </c>
      <c r="F125" s="494"/>
      <c r="G125" s="494">
        <v>9.92</v>
      </c>
      <c r="H125" s="494">
        <v>0</v>
      </c>
      <c r="I125" s="506">
        <v>9.92</v>
      </c>
      <c r="J125" s="507">
        <f t="shared" si="12"/>
        <v>9.92</v>
      </c>
      <c r="L125" s="508">
        <f t="shared" si="10"/>
        <v>9.92</v>
      </c>
    </row>
    <row r="126" spans="1:12">
      <c r="A126" s="492" t="str">
        <f t="shared" si="9"/>
        <v>501</v>
      </c>
      <c r="B126" s="504" t="s">
        <v>2094</v>
      </c>
      <c r="C126" s="504" t="s">
        <v>2095</v>
      </c>
      <c r="D126" s="509"/>
      <c r="E126" s="494">
        <v>0</v>
      </c>
      <c r="F126" s="494"/>
      <c r="G126" s="494">
        <v>8.27</v>
      </c>
      <c r="H126" s="494">
        <v>0</v>
      </c>
      <c r="I126" s="506">
        <v>8.27</v>
      </c>
      <c r="J126" s="507">
        <f t="shared" si="12"/>
        <v>8.27</v>
      </c>
      <c r="L126" s="508">
        <f t="shared" si="10"/>
        <v>8.27</v>
      </c>
    </row>
    <row r="127" spans="1:12">
      <c r="A127" s="492" t="str">
        <f t="shared" si="9"/>
        <v>502</v>
      </c>
      <c r="B127" s="504" t="s">
        <v>2096</v>
      </c>
      <c r="C127" s="504" t="s">
        <v>1069</v>
      </c>
      <c r="D127" s="509"/>
      <c r="E127" s="494">
        <v>0</v>
      </c>
      <c r="F127" s="494"/>
      <c r="G127" s="494">
        <v>32196.799999999999</v>
      </c>
      <c r="H127" s="494">
        <v>0</v>
      </c>
      <c r="I127" s="506">
        <v>32196.799999999999</v>
      </c>
      <c r="J127" s="507">
        <f t="shared" si="12"/>
        <v>32196.799999999999</v>
      </c>
      <c r="L127" s="508">
        <f t="shared" si="10"/>
        <v>32196.799999999999</v>
      </c>
    </row>
    <row r="128" spans="1:12">
      <c r="A128" s="492" t="str">
        <f t="shared" si="9"/>
        <v>502</v>
      </c>
      <c r="B128" s="504" t="s">
        <v>2097</v>
      </c>
      <c r="C128" s="504" t="s">
        <v>2098</v>
      </c>
      <c r="D128" s="509"/>
      <c r="E128" s="494">
        <v>0</v>
      </c>
      <c r="F128" s="494"/>
      <c r="G128" s="494">
        <v>29713.99</v>
      </c>
      <c r="H128" s="494">
        <v>0</v>
      </c>
      <c r="I128" s="506">
        <v>29713.99</v>
      </c>
      <c r="J128" s="507">
        <f t="shared" si="12"/>
        <v>29713.99</v>
      </c>
      <c r="L128" s="508">
        <f t="shared" si="10"/>
        <v>29713.99</v>
      </c>
    </row>
    <row r="129" spans="1:12">
      <c r="A129" s="492" t="str">
        <f t="shared" si="9"/>
        <v>502</v>
      </c>
      <c r="B129" s="504" t="s">
        <v>2099</v>
      </c>
      <c r="C129" s="504" t="s">
        <v>1072</v>
      </c>
      <c r="D129" s="509"/>
      <c r="E129" s="494">
        <v>0</v>
      </c>
      <c r="F129" s="494"/>
      <c r="G129" s="494">
        <v>126275.27</v>
      </c>
      <c r="H129" s="494">
        <v>0</v>
      </c>
      <c r="I129" s="506">
        <v>126275.27</v>
      </c>
      <c r="J129" s="507">
        <f t="shared" si="12"/>
        <v>126275.27</v>
      </c>
      <c r="L129" s="508">
        <f t="shared" si="10"/>
        <v>126275.27</v>
      </c>
    </row>
    <row r="130" spans="1:12">
      <c r="A130" s="492" t="str">
        <f t="shared" si="9"/>
        <v>502</v>
      </c>
      <c r="B130" s="504" t="s">
        <v>2100</v>
      </c>
      <c r="C130" s="504" t="s">
        <v>1069</v>
      </c>
      <c r="D130" s="509"/>
      <c r="E130" s="494">
        <v>0</v>
      </c>
      <c r="F130" s="494"/>
      <c r="G130" s="494">
        <v>49008.43</v>
      </c>
      <c r="H130" s="494">
        <v>0</v>
      </c>
      <c r="I130" s="506">
        <v>49008.43</v>
      </c>
      <c r="J130" s="507">
        <f t="shared" si="12"/>
        <v>49008.43</v>
      </c>
      <c r="L130" s="508">
        <f t="shared" si="10"/>
        <v>49008.43</v>
      </c>
    </row>
    <row r="131" spans="1:12">
      <c r="A131" s="492" t="str">
        <f t="shared" si="9"/>
        <v>502</v>
      </c>
      <c r="B131" s="504" t="s">
        <v>2101</v>
      </c>
      <c r="C131" s="504" t="s">
        <v>2098</v>
      </c>
      <c r="D131" s="509"/>
      <c r="E131" s="494">
        <v>0</v>
      </c>
      <c r="F131" s="494"/>
      <c r="G131" s="494">
        <v>13358.22</v>
      </c>
      <c r="H131" s="494">
        <v>0</v>
      </c>
      <c r="I131" s="506">
        <v>13358.22</v>
      </c>
      <c r="J131" s="507">
        <f t="shared" si="12"/>
        <v>13358.22</v>
      </c>
      <c r="L131" s="508">
        <f t="shared" si="10"/>
        <v>13358.22</v>
      </c>
    </row>
    <row r="132" spans="1:12">
      <c r="A132" s="492" t="str">
        <f t="shared" si="9"/>
        <v>502</v>
      </c>
      <c r="B132" s="504" t="s">
        <v>2102</v>
      </c>
      <c r="C132" s="504" t="s">
        <v>1072</v>
      </c>
      <c r="D132" s="509"/>
      <c r="E132" s="494">
        <v>0</v>
      </c>
      <c r="F132" s="494"/>
      <c r="G132" s="494">
        <v>13243.38</v>
      </c>
      <c r="H132" s="494">
        <v>0</v>
      </c>
      <c r="I132" s="506">
        <v>13243.38</v>
      </c>
      <c r="J132" s="507">
        <f t="shared" si="12"/>
        <v>13243.38</v>
      </c>
      <c r="L132" s="508">
        <f t="shared" si="10"/>
        <v>13243.38</v>
      </c>
    </row>
    <row r="133" spans="1:12">
      <c r="A133" s="492" t="str">
        <f t="shared" si="9"/>
        <v>511</v>
      </c>
      <c r="B133" s="504" t="s">
        <v>2103</v>
      </c>
      <c r="C133" s="504" t="s">
        <v>1074</v>
      </c>
      <c r="D133" s="509"/>
      <c r="E133" s="494">
        <v>0</v>
      </c>
      <c r="F133" s="494"/>
      <c r="G133" s="494">
        <v>0</v>
      </c>
      <c r="H133" s="494">
        <v>0</v>
      </c>
      <c r="I133" s="506">
        <v>0</v>
      </c>
      <c r="J133" s="507">
        <f t="shared" si="12"/>
        <v>0</v>
      </c>
      <c r="L133" s="508">
        <f t="shared" si="10"/>
        <v>0</v>
      </c>
    </row>
    <row r="134" spans="1:12">
      <c r="A134" s="492" t="str">
        <f t="shared" ref="A134:A197" si="13">LEFT(B134,3)</f>
        <v>511</v>
      </c>
      <c r="B134" s="504" t="s">
        <v>2104</v>
      </c>
      <c r="C134" s="504" t="s">
        <v>1075</v>
      </c>
      <c r="D134" s="509"/>
      <c r="E134" s="494">
        <v>0</v>
      </c>
      <c r="F134" s="494"/>
      <c r="G134" s="494">
        <v>10078.57</v>
      </c>
      <c r="H134" s="494">
        <v>0</v>
      </c>
      <c r="I134" s="506">
        <v>10078.57</v>
      </c>
      <c r="J134" s="507">
        <f t="shared" si="12"/>
        <v>10078.57</v>
      </c>
      <c r="L134" s="508">
        <f t="shared" ref="L134:L197" si="14">+J134+K134</f>
        <v>10078.57</v>
      </c>
    </row>
    <row r="135" spans="1:12">
      <c r="A135" s="492" t="str">
        <f t="shared" si="13"/>
        <v>511</v>
      </c>
      <c r="B135" s="504" t="s">
        <v>2105</v>
      </c>
      <c r="C135" s="504" t="s">
        <v>1076</v>
      </c>
      <c r="D135" s="509"/>
      <c r="E135" s="494">
        <v>0</v>
      </c>
      <c r="F135" s="494"/>
      <c r="G135" s="494">
        <v>19397.740000000002</v>
      </c>
      <c r="H135" s="494">
        <v>0</v>
      </c>
      <c r="I135" s="506">
        <v>19397.740000000002</v>
      </c>
      <c r="J135" s="507">
        <f t="shared" si="12"/>
        <v>19397.740000000002</v>
      </c>
      <c r="L135" s="508">
        <f t="shared" si="14"/>
        <v>19397.740000000002</v>
      </c>
    </row>
    <row r="136" spans="1:12">
      <c r="A136" s="492" t="str">
        <f t="shared" si="13"/>
        <v>511</v>
      </c>
      <c r="B136" s="504" t="s">
        <v>2106</v>
      </c>
      <c r="C136" s="504" t="s">
        <v>1077</v>
      </c>
      <c r="D136" s="509"/>
      <c r="E136" s="494">
        <v>0</v>
      </c>
      <c r="F136" s="494"/>
      <c r="G136" s="494">
        <v>4337.18</v>
      </c>
      <c r="H136" s="494">
        <v>0</v>
      </c>
      <c r="I136" s="506">
        <v>4337.18</v>
      </c>
      <c r="J136" s="507">
        <f t="shared" si="12"/>
        <v>4337.18</v>
      </c>
      <c r="L136" s="508">
        <f t="shared" si="14"/>
        <v>4337.18</v>
      </c>
    </row>
    <row r="137" spans="1:12">
      <c r="A137" s="492" t="str">
        <f t="shared" si="13"/>
        <v>511</v>
      </c>
      <c r="B137" s="504" t="s">
        <v>2107</v>
      </c>
      <c r="C137" s="504" t="s">
        <v>1075</v>
      </c>
      <c r="D137" s="509"/>
      <c r="E137" s="494">
        <v>0</v>
      </c>
      <c r="F137" s="494"/>
      <c r="G137" s="494">
        <v>572.62</v>
      </c>
      <c r="H137" s="494">
        <v>0</v>
      </c>
      <c r="I137" s="506">
        <v>572.62</v>
      </c>
      <c r="J137" s="507">
        <f t="shared" si="12"/>
        <v>572.62</v>
      </c>
      <c r="L137" s="508">
        <f t="shared" si="14"/>
        <v>572.62</v>
      </c>
    </row>
    <row r="138" spans="1:12">
      <c r="A138" s="492" t="str">
        <f t="shared" si="13"/>
        <v>511</v>
      </c>
      <c r="B138" s="504" t="s">
        <v>2108</v>
      </c>
      <c r="C138" s="504" t="s">
        <v>1077</v>
      </c>
      <c r="D138" s="509"/>
      <c r="E138" s="494">
        <v>0</v>
      </c>
      <c r="F138" s="494"/>
      <c r="G138" s="494">
        <v>201.71</v>
      </c>
      <c r="H138" s="494">
        <v>0</v>
      </c>
      <c r="I138" s="506">
        <v>201.71</v>
      </c>
      <c r="J138" s="507">
        <f t="shared" si="12"/>
        <v>201.71</v>
      </c>
      <c r="L138" s="508">
        <f t="shared" si="14"/>
        <v>201.71</v>
      </c>
    </row>
    <row r="139" spans="1:12">
      <c r="A139" s="492" t="str">
        <f t="shared" si="13"/>
        <v>512</v>
      </c>
      <c r="B139" s="504" t="s">
        <v>2109</v>
      </c>
      <c r="C139" s="504" t="s">
        <v>2110</v>
      </c>
      <c r="D139" s="509"/>
      <c r="E139" s="494">
        <v>0</v>
      </c>
      <c r="F139" s="494"/>
      <c r="G139" s="494">
        <v>1055.97</v>
      </c>
      <c r="H139" s="494">
        <v>0</v>
      </c>
      <c r="I139" s="506">
        <v>1055.97</v>
      </c>
      <c r="J139" s="507">
        <f t="shared" si="12"/>
        <v>1055.97</v>
      </c>
      <c r="L139" s="508">
        <f t="shared" si="14"/>
        <v>1055.97</v>
      </c>
    </row>
    <row r="140" spans="1:12">
      <c r="A140" s="492" t="str">
        <f t="shared" si="13"/>
        <v>512</v>
      </c>
      <c r="B140" s="504" t="s">
        <v>2111</v>
      </c>
      <c r="C140" s="504" t="s">
        <v>2112</v>
      </c>
      <c r="D140" s="509"/>
      <c r="E140" s="494">
        <v>0</v>
      </c>
      <c r="F140" s="494"/>
      <c r="G140" s="494">
        <v>47.77</v>
      </c>
      <c r="H140" s="494">
        <v>0</v>
      </c>
      <c r="I140" s="506">
        <v>47.77</v>
      </c>
      <c r="J140" s="507">
        <f t="shared" si="12"/>
        <v>47.77</v>
      </c>
      <c r="L140" s="508">
        <f t="shared" si="14"/>
        <v>47.77</v>
      </c>
    </row>
    <row r="141" spans="1:12">
      <c r="A141" s="492" t="str">
        <f t="shared" si="13"/>
        <v>512</v>
      </c>
      <c r="B141" s="504" t="s">
        <v>2113</v>
      </c>
      <c r="C141" s="504" t="s">
        <v>2114</v>
      </c>
      <c r="D141" s="509"/>
      <c r="E141" s="494">
        <v>0</v>
      </c>
      <c r="F141" s="494"/>
      <c r="G141" s="494">
        <v>23.39</v>
      </c>
      <c r="H141" s="494">
        <v>0</v>
      </c>
      <c r="I141" s="506">
        <v>23.39</v>
      </c>
      <c r="J141" s="507">
        <f t="shared" si="12"/>
        <v>23.39</v>
      </c>
      <c r="L141" s="508">
        <f t="shared" si="14"/>
        <v>23.39</v>
      </c>
    </row>
    <row r="142" spans="1:12">
      <c r="A142" s="492" t="str">
        <f t="shared" si="13"/>
        <v>513</v>
      </c>
      <c r="B142" s="504" t="s">
        <v>2115</v>
      </c>
      <c r="C142" s="504" t="s">
        <v>2116</v>
      </c>
      <c r="D142" s="509"/>
      <c r="E142" s="494">
        <v>0</v>
      </c>
      <c r="F142" s="494"/>
      <c r="G142" s="494">
        <v>961.23</v>
      </c>
      <c r="H142" s="494">
        <v>0</v>
      </c>
      <c r="I142" s="506">
        <v>961.23</v>
      </c>
      <c r="J142" s="507">
        <f t="shared" si="12"/>
        <v>961.23</v>
      </c>
      <c r="L142" s="508">
        <f t="shared" si="14"/>
        <v>961.23</v>
      </c>
    </row>
    <row r="143" spans="1:12">
      <c r="A143" s="492" t="str">
        <f t="shared" si="13"/>
        <v>513</v>
      </c>
      <c r="B143" s="504" t="s">
        <v>2117</v>
      </c>
      <c r="C143" s="504" t="s">
        <v>2118</v>
      </c>
      <c r="D143" s="509"/>
      <c r="E143" s="494">
        <v>0</v>
      </c>
      <c r="F143" s="494"/>
      <c r="G143" s="494">
        <v>0</v>
      </c>
      <c r="H143" s="494">
        <v>0</v>
      </c>
      <c r="I143" s="506">
        <v>0</v>
      </c>
      <c r="J143" s="507">
        <f t="shared" si="12"/>
        <v>0</v>
      </c>
      <c r="L143" s="508">
        <f t="shared" si="14"/>
        <v>0</v>
      </c>
    </row>
    <row r="144" spans="1:12">
      <c r="A144" s="492" t="str">
        <f t="shared" si="13"/>
        <v>518</v>
      </c>
      <c r="B144" s="504" t="s">
        <v>2119</v>
      </c>
      <c r="C144" s="504" t="s">
        <v>1085</v>
      </c>
      <c r="D144" s="509"/>
      <c r="E144" s="494">
        <v>0</v>
      </c>
      <c r="F144" s="494"/>
      <c r="G144" s="494">
        <v>198.87</v>
      </c>
      <c r="H144" s="494">
        <v>0</v>
      </c>
      <c r="I144" s="506">
        <v>198.87</v>
      </c>
      <c r="J144" s="507">
        <f t="shared" si="12"/>
        <v>198.87</v>
      </c>
      <c r="L144" s="508">
        <f t="shared" si="14"/>
        <v>198.87</v>
      </c>
    </row>
    <row r="145" spans="1:14">
      <c r="A145" s="492" t="str">
        <f t="shared" si="13"/>
        <v>518</v>
      </c>
      <c r="B145" s="504" t="s">
        <v>2120</v>
      </c>
      <c r="C145" s="504" t="s">
        <v>2121</v>
      </c>
      <c r="D145" s="509"/>
      <c r="E145" s="494">
        <v>0</v>
      </c>
      <c r="F145" s="494"/>
      <c r="G145" s="494">
        <v>25866.99</v>
      </c>
      <c r="H145" s="494">
        <v>0</v>
      </c>
      <c r="I145" s="506">
        <v>25866.99</v>
      </c>
      <c r="J145" s="507">
        <f t="shared" si="12"/>
        <v>25866.99</v>
      </c>
      <c r="L145" s="508">
        <f t="shared" si="14"/>
        <v>25866.99</v>
      </c>
    </row>
    <row r="146" spans="1:14">
      <c r="A146" s="492" t="str">
        <f t="shared" si="13"/>
        <v>518</v>
      </c>
      <c r="B146" s="504" t="s">
        <v>2122</v>
      </c>
      <c r="C146" s="504" t="s">
        <v>2123</v>
      </c>
      <c r="D146" s="509"/>
      <c r="E146" s="494">
        <v>0</v>
      </c>
      <c r="F146" s="494"/>
      <c r="G146" s="494">
        <v>144373.42000000001</v>
      </c>
      <c r="H146" s="494">
        <v>0</v>
      </c>
      <c r="I146" s="506">
        <v>144373.42000000001</v>
      </c>
      <c r="J146" s="507">
        <f t="shared" si="12"/>
        <v>144373.42000000001</v>
      </c>
      <c r="L146" s="508">
        <f t="shared" si="14"/>
        <v>144373.42000000001</v>
      </c>
    </row>
    <row r="147" spans="1:14">
      <c r="A147" s="492" t="str">
        <f t="shared" si="13"/>
        <v>518</v>
      </c>
      <c r="B147" s="504" t="s">
        <v>2124</v>
      </c>
      <c r="C147" s="504" t="s">
        <v>2125</v>
      </c>
      <c r="D147" s="509"/>
      <c r="E147" s="494">
        <v>0</v>
      </c>
      <c r="F147" s="494"/>
      <c r="G147" s="494">
        <v>27142.18</v>
      </c>
      <c r="H147" s="494">
        <v>0</v>
      </c>
      <c r="I147" s="506">
        <v>27142.18</v>
      </c>
      <c r="J147" s="507">
        <f t="shared" si="12"/>
        <v>27142.18</v>
      </c>
      <c r="L147" s="508">
        <f t="shared" si="14"/>
        <v>27142.18</v>
      </c>
    </row>
    <row r="148" spans="1:14">
      <c r="A148" s="492" t="str">
        <f t="shared" si="13"/>
        <v>518</v>
      </c>
      <c r="B148" s="504" t="s">
        <v>2126</v>
      </c>
      <c r="C148" s="504" t="s">
        <v>2127</v>
      </c>
      <c r="D148" s="509"/>
      <c r="E148" s="494">
        <v>0</v>
      </c>
      <c r="F148" s="494"/>
      <c r="G148" s="494">
        <v>7184.26</v>
      </c>
      <c r="H148" s="494">
        <v>0</v>
      </c>
      <c r="I148" s="506">
        <v>7184.26</v>
      </c>
      <c r="J148" s="507">
        <f t="shared" ref="J148:J211" si="15">+I148</f>
        <v>7184.26</v>
      </c>
      <c r="L148" s="508">
        <f t="shared" si="14"/>
        <v>7184.26</v>
      </c>
    </row>
    <row r="149" spans="1:14">
      <c r="A149" s="492" t="str">
        <f t="shared" si="13"/>
        <v>518</v>
      </c>
      <c r="B149" s="504" t="s">
        <v>2128</v>
      </c>
      <c r="C149" s="504" t="s">
        <v>2129</v>
      </c>
      <c r="D149" s="509"/>
      <c r="E149" s="494">
        <v>0</v>
      </c>
      <c r="F149" s="494"/>
      <c r="G149" s="494">
        <v>31699.73</v>
      </c>
      <c r="H149" s="494">
        <v>0</v>
      </c>
      <c r="I149" s="506">
        <v>31699.73</v>
      </c>
      <c r="J149" s="507">
        <f t="shared" si="15"/>
        <v>31699.73</v>
      </c>
      <c r="L149" s="508">
        <f t="shared" si="14"/>
        <v>31699.73</v>
      </c>
    </row>
    <row r="150" spans="1:14">
      <c r="A150" s="492" t="str">
        <f t="shared" si="13"/>
        <v>518</v>
      </c>
      <c r="B150" s="504" t="s">
        <v>2130</v>
      </c>
      <c r="C150" s="504" t="s">
        <v>2131</v>
      </c>
      <c r="D150" s="509"/>
      <c r="E150" s="494">
        <v>0</v>
      </c>
      <c r="F150" s="494"/>
      <c r="G150" s="494">
        <v>114667.84</v>
      </c>
      <c r="H150" s="494">
        <v>0</v>
      </c>
      <c r="I150" s="506">
        <v>114667.84</v>
      </c>
      <c r="J150" s="507">
        <f t="shared" si="15"/>
        <v>114667.84</v>
      </c>
      <c r="L150" s="508">
        <f t="shared" si="14"/>
        <v>114667.84</v>
      </c>
    </row>
    <row r="151" spans="1:14">
      <c r="A151" s="492" t="str">
        <f t="shared" si="13"/>
        <v>518</v>
      </c>
      <c r="B151" s="504" t="s">
        <v>2132</v>
      </c>
      <c r="C151" s="504" t="s">
        <v>2133</v>
      </c>
      <c r="D151" s="509"/>
      <c r="E151" s="494">
        <v>0</v>
      </c>
      <c r="F151" s="494"/>
      <c r="G151" s="494">
        <v>26615.64</v>
      </c>
      <c r="H151" s="494">
        <v>0</v>
      </c>
      <c r="I151" s="506">
        <v>26615.64</v>
      </c>
      <c r="J151" s="507">
        <f t="shared" si="15"/>
        <v>26615.64</v>
      </c>
      <c r="L151" s="508">
        <f t="shared" si="14"/>
        <v>26615.64</v>
      </c>
    </row>
    <row r="152" spans="1:14">
      <c r="A152" s="492" t="str">
        <f t="shared" si="13"/>
        <v>518</v>
      </c>
      <c r="B152" s="504" t="s">
        <v>2134</v>
      </c>
      <c r="C152" s="504" t="s">
        <v>2135</v>
      </c>
      <c r="D152" s="509"/>
      <c r="E152" s="494">
        <v>0</v>
      </c>
      <c r="F152" s="494"/>
      <c r="G152" s="494">
        <v>5418.17</v>
      </c>
      <c r="H152" s="494">
        <v>0</v>
      </c>
      <c r="I152" s="506">
        <v>5418.17</v>
      </c>
      <c r="J152" s="507">
        <f t="shared" si="15"/>
        <v>5418.17</v>
      </c>
      <c r="L152" s="508">
        <f t="shared" si="14"/>
        <v>5418.17</v>
      </c>
    </row>
    <row r="153" spans="1:14">
      <c r="A153" s="492" t="str">
        <f t="shared" si="13"/>
        <v>518</v>
      </c>
      <c r="B153" s="504" t="s">
        <v>2136</v>
      </c>
      <c r="C153" s="504" t="s">
        <v>1094</v>
      </c>
      <c r="D153" s="509"/>
      <c r="E153" s="494">
        <v>0</v>
      </c>
      <c r="F153" s="494"/>
      <c r="G153" s="494">
        <v>2750.64</v>
      </c>
      <c r="H153" s="494">
        <v>0</v>
      </c>
      <c r="I153" s="506">
        <v>2750.64</v>
      </c>
      <c r="J153" s="507">
        <f t="shared" si="15"/>
        <v>2750.64</v>
      </c>
      <c r="L153" s="508">
        <f t="shared" si="14"/>
        <v>2750.64</v>
      </c>
    </row>
    <row r="154" spans="1:14">
      <c r="A154" s="492" t="str">
        <f t="shared" si="13"/>
        <v>518</v>
      </c>
      <c r="B154" s="504" t="s">
        <v>2137</v>
      </c>
      <c r="C154" s="504" t="s">
        <v>2138</v>
      </c>
      <c r="D154" s="509"/>
      <c r="E154" s="494">
        <v>0</v>
      </c>
      <c r="F154" s="494"/>
      <c r="G154" s="494">
        <v>6426.37</v>
      </c>
      <c r="H154" s="494">
        <v>0</v>
      </c>
      <c r="I154" s="506">
        <v>6426.37</v>
      </c>
      <c r="J154" s="507">
        <f t="shared" si="15"/>
        <v>6426.37</v>
      </c>
      <c r="L154" s="508">
        <f t="shared" si="14"/>
        <v>6426.37</v>
      </c>
      <c r="M154" s="492" t="s">
        <v>2139</v>
      </c>
      <c r="N154" s="492" t="s">
        <v>2140</v>
      </c>
    </row>
    <row r="155" spans="1:14">
      <c r="A155" s="492" t="str">
        <f t="shared" si="13"/>
        <v>518</v>
      </c>
      <c r="B155" s="504" t="s">
        <v>2141</v>
      </c>
      <c r="C155" s="504" t="s">
        <v>2142</v>
      </c>
      <c r="D155" s="509"/>
      <c r="E155" s="494">
        <v>0</v>
      </c>
      <c r="F155" s="494"/>
      <c r="G155" s="494">
        <v>161700</v>
      </c>
      <c r="H155" s="494">
        <v>0</v>
      </c>
      <c r="I155" s="506">
        <v>161700</v>
      </c>
      <c r="J155" s="510">
        <f t="shared" si="15"/>
        <v>161700</v>
      </c>
      <c r="K155" s="493">
        <v>2200</v>
      </c>
      <c r="L155" s="508">
        <f t="shared" si="14"/>
        <v>163900</v>
      </c>
      <c r="M155" s="507">
        <v>233200</v>
      </c>
      <c r="N155" s="493">
        <f>+M155-(J155+J172)</f>
        <v>2200</v>
      </c>
    </row>
    <row r="156" spans="1:14">
      <c r="A156" s="492" t="str">
        <f t="shared" si="13"/>
        <v>518</v>
      </c>
      <c r="B156" s="504" t="s">
        <v>2143</v>
      </c>
      <c r="C156" s="504" t="s">
        <v>2144</v>
      </c>
      <c r="D156" s="509"/>
      <c r="E156" s="494">
        <v>0</v>
      </c>
      <c r="F156" s="494"/>
      <c r="G156" s="494">
        <v>8517.17</v>
      </c>
      <c r="H156" s="494">
        <v>0</v>
      </c>
      <c r="I156" s="506">
        <v>8517.17</v>
      </c>
      <c r="J156" s="507">
        <f t="shared" si="15"/>
        <v>8517.17</v>
      </c>
      <c r="L156" s="508">
        <f t="shared" si="14"/>
        <v>8517.17</v>
      </c>
    </row>
    <row r="157" spans="1:14">
      <c r="A157" s="492" t="str">
        <f t="shared" si="13"/>
        <v>518</v>
      </c>
      <c r="B157" s="504" t="s">
        <v>2145</v>
      </c>
      <c r="C157" s="504" t="s">
        <v>2146</v>
      </c>
      <c r="D157" s="509"/>
      <c r="E157" s="494">
        <v>0</v>
      </c>
      <c r="F157" s="494"/>
      <c r="G157" s="494">
        <v>22210.41</v>
      </c>
      <c r="H157" s="494">
        <v>0</v>
      </c>
      <c r="I157" s="506">
        <v>22210.41</v>
      </c>
      <c r="J157" s="507">
        <f t="shared" si="15"/>
        <v>22210.41</v>
      </c>
      <c r="L157" s="508">
        <f t="shared" si="14"/>
        <v>22210.41</v>
      </c>
    </row>
    <row r="158" spans="1:14">
      <c r="A158" s="492" t="str">
        <f t="shared" si="13"/>
        <v>518</v>
      </c>
      <c r="B158" s="504" t="s">
        <v>2147</v>
      </c>
      <c r="C158" s="504" t="s">
        <v>2148</v>
      </c>
      <c r="D158" s="509"/>
      <c r="E158" s="494">
        <v>0</v>
      </c>
      <c r="F158" s="494"/>
      <c r="G158" s="494">
        <v>20487.060000000001</v>
      </c>
      <c r="H158" s="494">
        <v>0</v>
      </c>
      <c r="I158" s="506">
        <v>20487.060000000001</v>
      </c>
      <c r="J158" s="507">
        <f t="shared" si="15"/>
        <v>20487.060000000001</v>
      </c>
      <c r="L158" s="508">
        <f t="shared" si="14"/>
        <v>20487.060000000001</v>
      </c>
    </row>
    <row r="159" spans="1:14">
      <c r="A159" s="492" t="str">
        <f t="shared" si="13"/>
        <v>518</v>
      </c>
      <c r="B159" s="504" t="s">
        <v>2149</v>
      </c>
      <c r="C159" s="504" t="s">
        <v>2150</v>
      </c>
      <c r="D159" s="509"/>
      <c r="E159" s="494">
        <v>0</v>
      </c>
      <c r="F159" s="494"/>
      <c r="G159" s="494">
        <v>17240.919999999998</v>
      </c>
      <c r="H159" s="494">
        <v>0</v>
      </c>
      <c r="I159" s="506">
        <v>17240.919999999998</v>
      </c>
      <c r="J159" s="507">
        <f t="shared" si="15"/>
        <v>17240.919999999998</v>
      </c>
      <c r="L159" s="508">
        <f t="shared" si="14"/>
        <v>17240.919999999998</v>
      </c>
    </row>
    <row r="160" spans="1:14">
      <c r="A160" s="492" t="str">
        <f t="shared" si="13"/>
        <v>518</v>
      </c>
      <c r="B160" s="504" t="s">
        <v>2151</v>
      </c>
      <c r="C160" s="504" t="s">
        <v>2152</v>
      </c>
      <c r="D160" s="509"/>
      <c r="E160" s="494">
        <v>0</v>
      </c>
      <c r="F160" s="494"/>
      <c r="G160" s="494">
        <v>588.41</v>
      </c>
      <c r="H160" s="494">
        <v>0</v>
      </c>
      <c r="I160" s="506">
        <v>588.41</v>
      </c>
      <c r="J160" s="507">
        <f t="shared" si="15"/>
        <v>588.41</v>
      </c>
      <c r="L160" s="508">
        <f t="shared" si="14"/>
        <v>588.41</v>
      </c>
    </row>
    <row r="161" spans="1:12">
      <c r="A161" s="492" t="str">
        <f t="shared" si="13"/>
        <v>518</v>
      </c>
      <c r="B161" s="504" t="s">
        <v>2153</v>
      </c>
      <c r="C161" s="504" t="s">
        <v>2154</v>
      </c>
      <c r="D161" s="509"/>
      <c r="E161" s="494">
        <v>0</v>
      </c>
      <c r="F161" s="494"/>
      <c r="G161" s="494">
        <v>10157.11</v>
      </c>
      <c r="H161" s="494">
        <v>0</v>
      </c>
      <c r="I161" s="506">
        <v>10157.11</v>
      </c>
      <c r="J161" s="507">
        <f t="shared" si="15"/>
        <v>10157.11</v>
      </c>
      <c r="L161" s="508">
        <f t="shared" si="14"/>
        <v>10157.11</v>
      </c>
    </row>
    <row r="162" spans="1:12">
      <c r="A162" s="492" t="str">
        <f t="shared" si="13"/>
        <v>518</v>
      </c>
      <c r="B162" s="504" t="s">
        <v>2155</v>
      </c>
      <c r="C162" s="504" t="s">
        <v>2156</v>
      </c>
      <c r="D162" s="509"/>
      <c r="E162" s="494">
        <v>0</v>
      </c>
      <c r="F162" s="494"/>
      <c r="G162" s="494">
        <v>46103.72</v>
      </c>
      <c r="H162" s="494">
        <v>0</v>
      </c>
      <c r="I162" s="506">
        <v>46103.72</v>
      </c>
      <c r="J162" s="507">
        <f t="shared" si="15"/>
        <v>46103.72</v>
      </c>
      <c r="L162" s="508">
        <f t="shared" si="14"/>
        <v>46103.72</v>
      </c>
    </row>
    <row r="163" spans="1:12">
      <c r="A163" s="492" t="str">
        <f t="shared" si="13"/>
        <v>518</v>
      </c>
      <c r="B163" s="504" t="s">
        <v>2157</v>
      </c>
      <c r="C163" s="504" t="s">
        <v>2158</v>
      </c>
      <c r="D163" s="509"/>
      <c r="E163" s="494">
        <v>0</v>
      </c>
      <c r="F163" s="494"/>
      <c r="G163" s="494">
        <v>11.13</v>
      </c>
      <c r="H163" s="494">
        <v>0</v>
      </c>
      <c r="I163" s="506">
        <v>11.13</v>
      </c>
      <c r="J163" s="507">
        <f t="shared" si="15"/>
        <v>11.13</v>
      </c>
      <c r="L163" s="508">
        <f t="shared" si="14"/>
        <v>11.13</v>
      </c>
    </row>
    <row r="164" spans="1:12">
      <c r="A164" s="492" t="str">
        <f t="shared" si="13"/>
        <v>518</v>
      </c>
      <c r="B164" s="504" t="s">
        <v>2159</v>
      </c>
      <c r="C164" s="504" t="s">
        <v>2160</v>
      </c>
      <c r="D164" s="509"/>
      <c r="E164" s="494">
        <v>0</v>
      </c>
      <c r="F164" s="494"/>
      <c r="G164" s="494">
        <v>180630.36</v>
      </c>
      <c r="H164" s="494">
        <v>0</v>
      </c>
      <c r="I164" s="506">
        <v>180630.36</v>
      </c>
      <c r="J164" s="507">
        <f t="shared" si="15"/>
        <v>180630.36</v>
      </c>
      <c r="L164" s="508">
        <f t="shared" si="14"/>
        <v>180630.36</v>
      </c>
    </row>
    <row r="165" spans="1:12">
      <c r="A165" s="492" t="str">
        <f t="shared" si="13"/>
        <v>518</v>
      </c>
      <c r="B165" s="504" t="s">
        <v>2161</v>
      </c>
      <c r="C165" s="504" t="s">
        <v>2162</v>
      </c>
      <c r="D165" s="509"/>
      <c r="E165" s="494">
        <v>0</v>
      </c>
      <c r="F165" s="494"/>
      <c r="G165" s="494">
        <v>682.48</v>
      </c>
      <c r="H165" s="494">
        <v>0</v>
      </c>
      <c r="I165" s="506">
        <v>682.48</v>
      </c>
      <c r="J165" s="507">
        <f t="shared" si="15"/>
        <v>682.48</v>
      </c>
      <c r="L165" s="508">
        <f t="shared" si="14"/>
        <v>682.48</v>
      </c>
    </row>
    <row r="166" spans="1:12">
      <c r="A166" s="492" t="str">
        <f t="shared" si="13"/>
        <v>518</v>
      </c>
      <c r="B166" s="504" t="s">
        <v>2163</v>
      </c>
      <c r="C166" s="504" t="s">
        <v>2164</v>
      </c>
      <c r="D166" s="509"/>
      <c r="E166" s="494">
        <v>0</v>
      </c>
      <c r="F166" s="494"/>
      <c r="G166" s="494">
        <v>128.30000000000001</v>
      </c>
      <c r="H166" s="494">
        <v>0</v>
      </c>
      <c r="I166" s="506">
        <v>128.30000000000001</v>
      </c>
      <c r="J166" s="507">
        <f t="shared" si="15"/>
        <v>128.30000000000001</v>
      </c>
      <c r="L166" s="508">
        <f t="shared" si="14"/>
        <v>128.30000000000001</v>
      </c>
    </row>
    <row r="167" spans="1:12">
      <c r="A167" s="492" t="str">
        <f t="shared" si="13"/>
        <v>518</v>
      </c>
      <c r="B167" s="504" t="s">
        <v>2165</v>
      </c>
      <c r="C167" s="504" t="s">
        <v>2166</v>
      </c>
      <c r="D167" s="509"/>
      <c r="E167" s="494">
        <v>0</v>
      </c>
      <c r="F167" s="494"/>
      <c r="G167" s="494">
        <v>0</v>
      </c>
      <c r="H167" s="494">
        <v>0</v>
      </c>
      <c r="I167" s="506">
        <v>0</v>
      </c>
      <c r="J167" s="507">
        <f t="shared" si="15"/>
        <v>0</v>
      </c>
      <c r="L167" s="508">
        <f t="shared" si="14"/>
        <v>0</v>
      </c>
    </row>
    <row r="168" spans="1:12">
      <c r="A168" s="492" t="str">
        <f t="shared" si="13"/>
        <v>518</v>
      </c>
      <c r="B168" s="504" t="s">
        <v>2167</v>
      </c>
      <c r="C168" s="504" t="s">
        <v>2168</v>
      </c>
      <c r="D168" s="509"/>
      <c r="E168" s="494">
        <v>0</v>
      </c>
      <c r="F168" s="494"/>
      <c r="G168" s="494">
        <v>520.92999999999995</v>
      </c>
      <c r="H168" s="494">
        <v>0</v>
      </c>
      <c r="I168" s="506">
        <v>520.92999999999995</v>
      </c>
      <c r="J168" s="507">
        <f t="shared" si="15"/>
        <v>520.92999999999995</v>
      </c>
      <c r="L168" s="508">
        <f t="shared" si="14"/>
        <v>520.92999999999995</v>
      </c>
    </row>
    <row r="169" spans="1:12">
      <c r="A169" s="492" t="str">
        <f t="shared" si="13"/>
        <v>518</v>
      </c>
      <c r="B169" s="504" t="s">
        <v>2169</v>
      </c>
      <c r="C169" s="504" t="s">
        <v>2170</v>
      </c>
      <c r="D169" s="509"/>
      <c r="E169" s="494">
        <v>0</v>
      </c>
      <c r="F169" s="494"/>
      <c r="G169" s="494">
        <v>67.42</v>
      </c>
      <c r="H169" s="494">
        <v>0</v>
      </c>
      <c r="I169" s="506">
        <v>67.42</v>
      </c>
      <c r="J169" s="507">
        <f t="shared" si="15"/>
        <v>67.42</v>
      </c>
      <c r="L169" s="508">
        <f t="shared" si="14"/>
        <v>67.42</v>
      </c>
    </row>
    <row r="170" spans="1:12">
      <c r="A170" s="492" t="str">
        <f t="shared" si="13"/>
        <v>518</v>
      </c>
      <c r="B170" s="504" t="s">
        <v>2171</v>
      </c>
      <c r="C170" s="504" t="s">
        <v>1093</v>
      </c>
      <c r="D170" s="509"/>
      <c r="E170" s="494">
        <v>0</v>
      </c>
      <c r="F170" s="494"/>
      <c r="G170" s="494">
        <v>508.29</v>
      </c>
      <c r="H170" s="494">
        <v>0</v>
      </c>
      <c r="I170" s="506">
        <v>508.29</v>
      </c>
      <c r="J170" s="507">
        <f t="shared" si="15"/>
        <v>508.29</v>
      </c>
      <c r="L170" s="508">
        <f t="shared" si="14"/>
        <v>508.29</v>
      </c>
    </row>
    <row r="171" spans="1:12">
      <c r="A171" s="492" t="str">
        <f t="shared" si="13"/>
        <v>518</v>
      </c>
      <c r="B171" s="504" t="s">
        <v>2172</v>
      </c>
      <c r="C171" s="504" t="s">
        <v>2173</v>
      </c>
      <c r="D171" s="509"/>
      <c r="E171" s="494">
        <v>0</v>
      </c>
      <c r="F171" s="494"/>
      <c r="G171" s="494">
        <v>153.46</v>
      </c>
      <c r="H171" s="494">
        <v>0</v>
      </c>
      <c r="I171" s="506">
        <v>153.46</v>
      </c>
      <c r="J171" s="507">
        <f t="shared" si="15"/>
        <v>153.46</v>
      </c>
      <c r="L171" s="508">
        <f t="shared" si="14"/>
        <v>153.46</v>
      </c>
    </row>
    <row r="172" spans="1:12">
      <c r="A172" s="492" t="str">
        <f t="shared" si="13"/>
        <v>518</v>
      </c>
      <c r="B172" s="504" t="s">
        <v>2174</v>
      </c>
      <c r="C172" s="504" t="s">
        <v>2175</v>
      </c>
      <c r="D172" s="509"/>
      <c r="E172" s="494">
        <v>0</v>
      </c>
      <c r="F172" s="494"/>
      <c r="G172" s="494">
        <v>0</v>
      </c>
      <c r="H172" s="494">
        <v>-69300</v>
      </c>
      <c r="I172" s="506">
        <v>69300</v>
      </c>
      <c r="J172" s="510">
        <f t="shared" si="15"/>
        <v>69300</v>
      </c>
      <c r="L172" s="508">
        <f t="shared" si="14"/>
        <v>69300</v>
      </c>
    </row>
    <row r="173" spans="1:12">
      <c r="A173" s="492" t="str">
        <f t="shared" si="13"/>
        <v>518</v>
      </c>
      <c r="B173" s="504" t="s">
        <v>2176</v>
      </c>
      <c r="C173" s="504" t="s">
        <v>2177</v>
      </c>
      <c r="D173" s="509"/>
      <c r="E173" s="494">
        <v>0</v>
      </c>
      <c r="F173" s="494"/>
      <c r="G173" s="494">
        <v>476.67</v>
      </c>
      <c r="H173" s="494">
        <v>0</v>
      </c>
      <c r="I173" s="506">
        <v>476.67</v>
      </c>
      <c r="J173" s="507">
        <f t="shared" si="15"/>
        <v>476.67</v>
      </c>
      <c r="L173" s="508">
        <f t="shared" si="14"/>
        <v>476.67</v>
      </c>
    </row>
    <row r="174" spans="1:12">
      <c r="A174" s="492" t="str">
        <f t="shared" si="13"/>
        <v>518</v>
      </c>
      <c r="B174" s="504" t="s">
        <v>2178</v>
      </c>
      <c r="C174" s="504" t="s">
        <v>2179</v>
      </c>
      <c r="D174" s="509"/>
      <c r="E174" s="494">
        <v>0</v>
      </c>
      <c r="F174" s="494"/>
      <c r="G174" s="494">
        <v>106.61</v>
      </c>
      <c r="H174" s="494">
        <v>0</v>
      </c>
      <c r="I174" s="506">
        <v>106.61</v>
      </c>
      <c r="J174" s="507">
        <f t="shared" si="15"/>
        <v>106.61</v>
      </c>
      <c r="L174" s="508">
        <f t="shared" si="14"/>
        <v>106.61</v>
      </c>
    </row>
    <row r="175" spans="1:12">
      <c r="A175" s="492" t="str">
        <f t="shared" si="13"/>
        <v>518</v>
      </c>
      <c r="B175" s="504" t="s">
        <v>2180</v>
      </c>
      <c r="C175" s="504" t="s">
        <v>2181</v>
      </c>
      <c r="D175" s="509"/>
      <c r="E175" s="494">
        <v>0</v>
      </c>
      <c r="F175" s="494"/>
      <c r="G175" s="494">
        <v>29.17</v>
      </c>
      <c r="H175" s="494">
        <v>0</v>
      </c>
      <c r="I175" s="506">
        <v>29.17</v>
      </c>
      <c r="J175" s="507">
        <f t="shared" si="15"/>
        <v>29.17</v>
      </c>
      <c r="L175" s="508">
        <f t="shared" si="14"/>
        <v>29.17</v>
      </c>
    </row>
    <row r="176" spans="1:12">
      <c r="A176" s="492" t="str">
        <f t="shared" si="13"/>
        <v>518</v>
      </c>
      <c r="B176" s="504" t="s">
        <v>2182</v>
      </c>
      <c r="C176" s="504" t="s">
        <v>2183</v>
      </c>
      <c r="D176" s="509"/>
      <c r="E176" s="494">
        <v>0</v>
      </c>
      <c r="F176" s="494"/>
      <c r="G176" s="494">
        <v>1.59</v>
      </c>
      <c r="H176" s="494">
        <v>0</v>
      </c>
      <c r="I176" s="506">
        <v>1.59</v>
      </c>
      <c r="J176" s="507">
        <f t="shared" si="15"/>
        <v>1.59</v>
      </c>
      <c r="L176" s="508">
        <f t="shared" si="14"/>
        <v>1.59</v>
      </c>
    </row>
    <row r="177" spans="1:12">
      <c r="A177" s="492" t="str">
        <f t="shared" si="13"/>
        <v>518</v>
      </c>
      <c r="B177" s="504" t="s">
        <v>2184</v>
      </c>
      <c r="C177" s="504" t="s">
        <v>2185</v>
      </c>
      <c r="D177" s="509"/>
      <c r="E177" s="494">
        <v>0</v>
      </c>
      <c r="F177" s="494"/>
      <c r="G177" s="494">
        <v>854.58</v>
      </c>
      <c r="H177" s="494">
        <v>0</v>
      </c>
      <c r="I177" s="506">
        <v>854.58</v>
      </c>
      <c r="J177" s="507">
        <f t="shared" si="15"/>
        <v>854.58</v>
      </c>
      <c r="L177" s="508">
        <f t="shared" si="14"/>
        <v>854.58</v>
      </c>
    </row>
    <row r="178" spans="1:12">
      <c r="A178" s="492" t="str">
        <f t="shared" si="13"/>
        <v>521</v>
      </c>
      <c r="B178" s="504" t="s">
        <v>2186</v>
      </c>
      <c r="C178" s="504" t="s">
        <v>2187</v>
      </c>
      <c r="D178" s="509"/>
      <c r="E178" s="494">
        <v>0</v>
      </c>
      <c r="F178" s="494"/>
      <c r="G178" s="494">
        <v>867609.86</v>
      </c>
      <c r="H178" s="494">
        <v>0</v>
      </c>
      <c r="I178" s="506">
        <v>867609.86</v>
      </c>
      <c r="J178" s="507">
        <f t="shared" si="15"/>
        <v>867609.86</v>
      </c>
      <c r="L178" s="508">
        <f t="shared" si="14"/>
        <v>867609.86</v>
      </c>
    </row>
    <row r="179" spans="1:12">
      <c r="A179" s="492" t="str">
        <f t="shared" si="13"/>
        <v>521</v>
      </c>
      <c r="B179" s="504" t="s">
        <v>2188</v>
      </c>
      <c r="C179" s="504" t="s">
        <v>2189</v>
      </c>
      <c r="D179" s="509"/>
      <c r="E179" s="494">
        <v>0</v>
      </c>
      <c r="F179" s="494"/>
      <c r="G179" s="494">
        <v>817522.77</v>
      </c>
      <c r="H179" s="494">
        <v>0</v>
      </c>
      <c r="I179" s="506">
        <v>817522.77</v>
      </c>
      <c r="J179" s="507">
        <f t="shared" si="15"/>
        <v>817522.77</v>
      </c>
      <c r="L179" s="508">
        <f t="shared" si="14"/>
        <v>817522.77</v>
      </c>
    </row>
    <row r="180" spans="1:12">
      <c r="A180" s="492" t="str">
        <f t="shared" si="13"/>
        <v>521</v>
      </c>
      <c r="B180" s="504" t="s">
        <v>2190</v>
      </c>
      <c r="C180" s="504" t="s">
        <v>2191</v>
      </c>
      <c r="D180" s="509"/>
      <c r="E180" s="494">
        <v>0</v>
      </c>
      <c r="F180" s="494"/>
      <c r="G180" s="494">
        <v>269367.87</v>
      </c>
      <c r="H180" s="494">
        <v>0</v>
      </c>
      <c r="I180" s="506">
        <v>269367.87</v>
      </c>
      <c r="J180" s="507">
        <f t="shared" si="15"/>
        <v>269367.87</v>
      </c>
      <c r="L180" s="508">
        <f t="shared" si="14"/>
        <v>269367.87</v>
      </c>
    </row>
    <row r="181" spans="1:12">
      <c r="A181" s="492" t="str">
        <f t="shared" si="13"/>
        <v>521</v>
      </c>
      <c r="B181" s="504" t="s">
        <v>2192</v>
      </c>
      <c r="C181" s="504" t="s">
        <v>2193</v>
      </c>
      <c r="D181" s="509"/>
      <c r="E181" s="494">
        <v>0</v>
      </c>
      <c r="F181" s="494"/>
      <c r="G181" s="494">
        <v>128586.94</v>
      </c>
      <c r="H181" s="494">
        <v>0</v>
      </c>
      <c r="I181" s="506">
        <v>128586.94</v>
      </c>
      <c r="J181" s="507">
        <f t="shared" si="15"/>
        <v>128586.94</v>
      </c>
      <c r="L181" s="508">
        <f t="shared" si="14"/>
        <v>128586.94</v>
      </c>
    </row>
    <row r="182" spans="1:12">
      <c r="A182" s="492" t="str">
        <f t="shared" si="13"/>
        <v>521</v>
      </c>
      <c r="B182" s="504" t="s">
        <v>2194</v>
      </c>
      <c r="C182" s="504" t="s">
        <v>2195</v>
      </c>
      <c r="D182" s="509"/>
      <c r="E182" s="494">
        <v>0</v>
      </c>
      <c r="F182" s="494"/>
      <c r="G182" s="494">
        <v>86376.07</v>
      </c>
      <c r="H182" s="494">
        <v>0</v>
      </c>
      <c r="I182" s="506">
        <v>86376.07</v>
      </c>
      <c r="J182" s="507">
        <f t="shared" si="15"/>
        <v>86376.07</v>
      </c>
      <c r="L182" s="508">
        <f t="shared" si="14"/>
        <v>86376.07</v>
      </c>
    </row>
    <row r="183" spans="1:12">
      <c r="A183" s="492" t="str">
        <f t="shared" si="13"/>
        <v>521</v>
      </c>
      <c r="B183" s="504" t="s">
        <v>2196</v>
      </c>
      <c r="C183" s="504" t="s">
        <v>2197</v>
      </c>
      <c r="D183" s="509"/>
      <c r="E183" s="494">
        <v>0</v>
      </c>
      <c r="F183" s="494"/>
      <c r="G183" s="494">
        <v>66495.91</v>
      </c>
      <c r="H183" s="494">
        <v>0</v>
      </c>
      <c r="I183" s="506">
        <v>66495.91</v>
      </c>
      <c r="J183" s="507">
        <f t="shared" si="15"/>
        <v>66495.91</v>
      </c>
      <c r="L183" s="508">
        <f t="shared" si="14"/>
        <v>66495.91</v>
      </c>
    </row>
    <row r="184" spans="1:12">
      <c r="A184" s="492" t="str">
        <f t="shared" si="13"/>
        <v>521</v>
      </c>
      <c r="B184" s="504" t="s">
        <v>2198</v>
      </c>
      <c r="C184" s="504" t="s">
        <v>2199</v>
      </c>
      <c r="D184" s="509"/>
      <c r="E184" s="494">
        <v>0</v>
      </c>
      <c r="F184" s="494"/>
      <c r="G184" s="494">
        <v>1350</v>
      </c>
      <c r="H184" s="494">
        <v>0</v>
      </c>
      <c r="I184" s="506">
        <v>1350</v>
      </c>
      <c r="J184" s="507">
        <f t="shared" si="15"/>
        <v>1350</v>
      </c>
      <c r="L184" s="508">
        <f t="shared" si="14"/>
        <v>1350</v>
      </c>
    </row>
    <row r="185" spans="1:12">
      <c r="A185" s="492" t="str">
        <f t="shared" si="13"/>
        <v>521</v>
      </c>
      <c r="B185" s="504" t="s">
        <v>2200</v>
      </c>
      <c r="C185" s="504" t="s">
        <v>2201</v>
      </c>
      <c r="D185" s="509"/>
      <c r="E185" s="494">
        <v>0</v>
      </c>
      <c r="F185" s="494"/>
      <c r="G185" s="494">
        <v>64153.33</v>
      </c>
      <c r="H185" s="494">
        <v>0</v>
      </c>
      <c r="I185" s="506">
        <v>64153.33</v>
      </c>
      <c r="J185" s="507">
        <f t="shared" si="15"/>
        <v>64153.33</v>
      </c>
      <c r="L185" s="508">
        <f t="shared" si="14"/>
        <v>64153.33</v>
      </c>
    </row>
    <row r="186" spans="1:12">
      <c r="A186" s="492" t="str">
        <f t="shared" si="13"/>
        <v>521</v>
      </c>
      <c r="B186" s="504" t="s">
        <v>2202</v>
      </c>
      <c r="C186" s="504" t="s">
        <v>2203</v>
      </c>
      <c r="D186" s="509"/>
      <c r="E186" s="494">
        <v>0</v>
      </c>
      <c r="F186" s="494"/>
      <c r="G186" s="494">
        <v>-12732.43</v>
      </c>
      <c r="H186" s="494">
        <v>0</v>
      </c>
      <c r="I186" s="506">
        <v>-12732.43</v>
      </c>
      <c r="J186" s="507">
        <f t="shared" si="15"/>
        <v>-12732.43</v>
      </c>
      <c r="L186" s="508">
        <f t="shared" si="14"/>
        <v>-12732.43</v>
      </c>
    </row>
    <row r="187" spans="1:12">
      <c r="A187" s="492" t="str">
        <f t="shared" si="13"/>
        <v>521</v>
      </c>
      <c r="B187" s="504" t="s">
        <v>2204</v>
      </c>
      <c r="C187" s="504" t="s">
        <v>2205</v>
      </c>
      <c r="D187" s="509"/>
      <c r="E187" s="494">
        <v>0</v>
      </c>
      <c r="F187" s="494"/>
      <c r="G187" s="494">
        <v>10038.67</v>
      </c>
      <c r="H187" s="494">
        <v>0</v>
      </c>
      <c r="I187" s="506">
        <v>10038.67</v>
      </c>
      <c r="J187" s="507">
        <f t="shared" si="15"/>
        <v>10038.67</v>
      </c>
      <c r="L187" s="508">
        <f t="shared" si="14"/>
        <v>10038.67</v>
      </c>
    </row>
    <row r="188" spans="1:12">
      <c r="A188" s="492" t="str">
        <f t="shared" si="13"/>
        <v>521</v>
      </c>
      <c r="B188" s="504" t="s">
        <v>2206</v>
      </c>
      <c r="C188" s="504" t="s">
        <v>2207</v>
      </c>
      <c r="D188" s="509"/>
      <c r="E188" s="494">
        <v>0</v>
      </c>
      <c r="F188" s="494"/>
      <c r="G188" s="494">
        <v>15.51</v>
      </c>
      <c r="H188" s="494">
        <v>0</v>
      </c>
      <c r="I188" s="506">
        <v>15.51</v>
      </c>
      <c r="J188" s="507">
        <f t="shared" si="15"/>
        <v>15.51</v>
      </c>
      <c r="L188" s="508">
        <f t="shared" si="14"/>
        <v>15.51</v>
      </c>
    </row>
    <row r="189" spans="1:12">
      <c r="A189" s="492" t="str">
        <f t="shared" si="13"/>
        <v>524</v>
      </c>
      <c r="B189" s="504" t="s">
        <v>2208</v>
      </c>
      <c r="C189" s="504" t="s">
        <v>2209</v>
      </c>
      <c r="D189" s="509"/>
      <c r="E189" s="494">
        <v>0</v>
      </c>
      <c r="F189" s="494"/>
      <c r="G189" s="494">
        <v>82816.13</v>
      </c>
      <c r="H189" s="494">
        <v>0</v>
      </c>
      <c r="I189" s="506">
        <v>82816.13</v>
      </c>
      <c r="J189" s="507">
        <f t="shared" si="15"/>
        <v>82816.13</v>
      </c>
      <c r="L189" s="508">
        <f t="shared" si="14"/>
        <v>82816.13</v>
      </c>
    </row>
    <row r="190" spans="1:12">
      <c r="A190" s="492" t="str">
        <f t="shared" si="13"/>
        <v>524</v>
      </c>
      <c r="B190" s="504" t="s">
        <v>2210</v>
      </c>
      <c r="C190" s="504" t="s">
        <v>2211</v>
      </c>
      <c r="D190" s="509"/>
      <c r="E190" s="494">
        <v>0</v>
      </c>
      <c r="F190" s="494"/>
      <c r="G190" s="494">
        <v>79954.73</v>
      </c>
      <c r="H190" s="494">
        <v>0</v>
      </c>
      <c r="I190" s="506">
        <v>79954.73</v>
      </c>
      <c r="J190" s="507">
        <f t="shared" si="15"/>
        <v>79954.73</v>
      </c>
      <c r="L190" s="508">
        <f t="shared" si="14"/>
        <v>79954.73</v>
      </c>
    </row>
    <row r="191" spans="1:12">
      <c r="A191" s="492" t="str">
        <f t="shared" si="13"/>
        <v>524</v>
      </c>
      <c r="B191" s="504" t="s">
        <v>2212</v>
      </c>
      <c r="C191" s="504" t="s">
        <v>2213</v>
      </c>
      <c r="D191" s="509"/>
      <c r="E191" s="494">
        <v>0</v>
      </c>
      <c r="F191" s="494"/>
      <c r="G191" s="494">
        <v>25155.08</v>
      </c>
      <c r="H191" s="494">
        <v>0</v>
      </c>
      <c r="I191" s="506">
        <v>25155.08</v>
      </c>
      <c r="J191" s="507">
        <f t="shared" si="15"/>
        <v>25155.08</v>
      </c>
      <c r="L191" s="508">
        <f t="shared" si="14"/>
        <v>25155.08</v>
      </c>
    </row>
    <row r="192" spans="1:12">
      <c r="A192" s="492" t="str">
        <f t="shared" si="13"/>
        <v>524</v>
      </c>
      <c r="B192" s="504" t="s">
        <v>2214</v>
      </c>
      <c r="C192" s="504" t="s">
        <v>2215</v>
      </c>
      <c r="D192" s="509"/>
      <c r="E192" s="494">
        <v>0</v>
      </c>
      <c r="F192" s="494"/>
      <c r="G192" s="494">
        <v>11397.3</v>
      </c>
      <c r="H192" s="494">
        <v>0</v>
      </c>
      <c r="I192" s="506">
        <v>11397.3</v>
      </c>
      <c r="J192" s="507">
        <f t="shared" si="15"/>
        <v>11397.3</v>
      </c>
      <c r="L192" s="508">
        <f t="shared" si="14"/>
        <v>11397.3</v>
      </c>
    </row>
    <row r="193" spans="1:12">
      <c r="A193" s="492" t="str">
        <f t="shared" si="13"/>
        <v>524</v>
      </c>
      <c r="B193" s="504" t="s">
        <v>2216</v>
      </c>
      <c r="C193" s="504" t="s">
        <v>2217</v>
      </c>
      <c r="D193" s="509"/>
      <c r="E193" s="494">
        <v>0</v>
      </c>
      <c r="F193" s="494"/>
      <c r="G193" s="494">
        <v>8056.74</v>
      </c>
      <c r="H193" s="494">
        <v>0</v>
      </c>
      <c r="I193" s="506">
        <v>8056.74</v>
      </c>
      <c r="J193" s="507">
        <f t="shared" si="15"/>
        <v>8056.74</v>
      </c>
      <c r="L193" s="508">
        <f t="shared" si="14"/>
        <v>8056.74</v>
      </c>
    </row>
    <row r="194" spans="1:12">
      <c r="A194" s="492" t="str">
        <f t="shared" si="13"/>
        <v>524</v>
      </c>
      <c r="B194" s="504" t="s">
        <v>2218</v>
      </c>
      <c r="C194" s="504" t="s">
        <v>2219</v>
      </c>
      <c r="D194" s="509"/>
      <c r="E194" s="494">
        <v>0</v>
      </c>
      <c r="F194" s="494"/>
      <c r="G194" s="494">
        <v>197222.43</v>
      </c>
      <c r="H194" s="494">
        <v>0</v>
      </c>
      <c r="I194" s="506">
        <v>197222.43</v>
      </c>
      <c r="J194" s="507">
        <f t="shared" si="15"/>
        <v>197222.43</v>
      </c>
      <c r="L194" s="508">
        <f t="shared" si="14"/>
        <v>197222.43</v>
      </c>
    </row>
    <row r="195" spans="1:12">
      <c r="A195" s="492" t="str">
        <f t="shared" si="13"/>
        <v>524</v>
      </c>
      <c r="B195" s="504" t="s">
        <v>2220</v>
      </c>
      <c r="C195" s="504" t="s">
        <v>2221</v>
      </c>
      <c r="D195" s="509"/>
      <c r="E195" s="494">
        <v>0</v>
      </c>
      <c r="F195" s="494"/>
      <c r="G195" s="494">
        <v>182140.75</v>
      </c>
      <c r="H195" s="494">
        <v>0</v>
      </c>
      <c r="I195" s="506">
        <v>182140.75</v>
      </c>
      <c r="J195" s="507">
        <f t="shared" si="15"/>
        <v>182140.75</v>
      </c>
      <c r="L195" s="508">
        <f t="shared" si="14"/>
        <v>182140.75</v>
      </c>
    </row>
    <row r="196" spans="1:12">
      <c r="A196" s="492" t="str">
        <f t="shared" si="13"/>
        <v>524</v>
      </c>
      <c r="B196" s="504" t="s">
        <v>2222</v>
      </c>
      <c r="C196" s="504" t="s">
        <v>2223</v>
      </c>
      <c r="D196" s="509"/>
      <c r="E196" s="494">
        <v>0</v>
      </c>
      <c r="F196" s="494"/>
      <c r="G196" s="494">
        <v>60316.75</v>
      </c>
      <c r="H196" s="494">
        <v>0</v>
      </c>
      <c r="I196" s="506">
        <v>60316.75</v>
      </c>
      <c r="J196" s="507">
        <f t="shared" si="15"/>
        <v>60316.75</v>
      </c>
      <c r="L196" s="508">
        <f t="shared" si="14"/>
        <v>60316.75</v>
      </c>
    </row>
    <row r="197" spans="1:12">
      <c r="A197" s="492" t="str">
        <f t="shared" si="13"/>
        <v>524</v>
      </c>
      <c r="B197" s="504" t="s">
        <v>2224</v>
      </c>
      <c r="C197" s="504" t="s">
        <v>2225</v>
      </c>
      <c r="D197" s="509"/>
      <c r="E197" s="494">
        <v>0</v>
      </c>
      <c r="F197" s="494"/>
      <c r="G197" s="494">
        <v>27339.19</v>
      </c>
      <c r="H197" s="494">
        <v>0</v>
      </c>
      <c r="I197" s="506">
        <v>27339.19</v>
      </c>
      <c r="J197" s="507">
        <f t="shared" si="15"/>
        <v>27339.19</v>
      </c>
      <c r="L197" s="508">
        <f t="shared" si="14"/>
        <v>27339.19</v>
      </c>
    </row>
    <row r="198" spans="1:12">
      <c r="A198" s="492" t="str">
        <f t="shared" ref="A198:A261" si="16">LEFT(B198,3)</f>
        <v>524</v>
      </c>
      <c r="B198" s="504" t="s">
        <v>2226</v>
      </c>
      <c r="C198" s="504" t="s">
        <v>2227</v>
      </c>
      <c r="D198" s="509"/>
      <c r="E198" s="494">
        <v>0</v>
      </c>
      <c r="F198" s="494"/>
      <c r="G198" s="494">
        <v>19277.77</v>
      </c>
      <c r="H198" s="494">
        <v>0</v>
      </c>
      <c r="I198" s="506">
        <v>19277.77</v>
      </c>
      <c r="J198" s="507">
        <f t="shared" si="15"/>
        <v>19277.77</v>
      </c>
      <c r="L198" s="508">
        <f t="shared" ref="L198:L261" si="17">+J198+K198</f>
        <v>19277.77</v>
      </c>
    </row>
    <row r="199" spans="1:12">
      <c r="A199" s="492" t="str">
        <f t="shared" si="16"/>
        <v>524</v>
      </c>
      <c r="B199" s="504" t="s">
        <v>2228</v>
      </c>
      <c r="C199" s="504" t="s">
        <v>2229</v>
      </c>
      <c r="D199" s="509"/>
      <c r="E199" s="494">
        <v>0</v>
      </c>
      <c r="F199" s="494"/>
      <c r="G199" s="494">
        <v>23916.240000000002</v>
      </c>
      <c r="H199" s="494">
        <v>0</v>
      </c>
      <c r="I199" s="506">
        <v>23916.240000000002</v>
      </c>
      <c r="J199" s="507">
        <f t="shared" si="15"/>
        <v>23916.240000000002</v>
      </c>
      <c r="L199" s="508">
        <f t="shared" si="17"/>
        <v>23916.240000000002</v>
      </c>
    </row>
    <row r="200" spans="1:12">
      <c r="A200" s="492" t="str">
        <f t="shared" si="16"/>
        <v>524</v>
      </c>
      <c r="B200" s="504" t="s">
        <v>2230</v>
      </c>
      <c r="C200" s="504" t="s">
        <v>2231</v>
      </c>
      <c r="D200" s="509"/>
      <c r="E200" s="494">
        <v>0</v>
      </c>
      <c r="F200" s="494"/>
      <c r="G200" s="494">
        <v>24554.05</v>
      </c>
      <c r="H200" s="494">
        <v>0</v>
      </c>
      <c r="I200" s="506">
        <v>24554.05</v>
      </c>
      <c r="J200" s="507">
        <f t="shared" si="15"/>
        <v>24554.05</v>
      </c>
      <c r="L200" s="508">
        <f t="shared" si="17"/>
        <v>24554.05</v>
      </c>
    </row>
    <row r="201" spans="1:12">
      <c r="A201" s="492" t="str">
        <f t="shared" si="16"/>
        <v>524</v>
      </c>
      <c r="B201" s="504" t="s">
        <v>2232</v>
      </c>
      <c r="C201" s="504" t="s">
        <v>2233</v>
      </c>
      <c r="D201" s="509"/>
      <c r="E201" s="494">
        <v>0</v>
      </c>
      <c r="F201" s="494"/>
      <c r="G201" s="494">
        <v>8050.5</v>
      </c>
      <c r="H201" s="494">
        <v>0</v>
      </c>
      <c r="I201" s="506">
        <v>8050.5</v>
      </c>
      <c r="J201" s="507">
        <f t="shared" si="15"/>
        <v>8050.5</v>
      </c>
      <c r="L201" s="508">
        <f t="shared" si="17"/>
        <v>8050.5</v>
      </c>
    </row>
    <row r="202" spans="1:12">
      <c r="A202" s="492" t="str">
        <f t="shared" si="16"/>
        <v>524</v>
      </c>
      <c r="B202" s="504" t="s">
        <v>2234</v>
      </c>
      <c r="C202" s="504" t="s">
        <v>2235</v>
      </c>
      <c r="D202" s="509"/>
      <c r="E202" s="494">
        <v>0</v>
      </c>
      <c r="F202" s="494"/>
      <c r="G202" s="494">
        <v>2924.52</v>
      </c>
      <c r="H202" s="494">
        <v>0</v>
      </c>
      <c r="I202" s="506">
        <v>2924.52</v>
      </c>
      <c r="J202" s="507">
        <f t="shared" si="15"/>
        <v>2924.52</v>
      </c>
      <c r="L202" s="508">
        <f t="shared" si="17"/>
        <v>2924.52</v>
      </c>
    </row>
    <row r="203" spans="1:12">
      <c r="A203" s="492" t="str">
        <f t="shared" si="16"/>
        <v>524</v>
      </c>
      <c r="B203" s="504" t="s">
        <v>2236</v>
      </c>
      <c r="C203" s="504" t="s">
        <v>2237</v>
      </c>
      <c r="D203" s="509"/>
      <c r="E203" s="494">
        <v>0</v>
      </c>
      <c r="F203" s="494"/>
      <c r="G203" s="494">
        <v>2635.92</v>
      </c>
      <c r="H203" s="494">
        <v>0</v>
      </c>
      <c r="I203" s="506">
        <v>2635.92</v>
      </c>
      <c r="J203" s="507">
        <f t="shared" si="15"/>
        <v>2635.92</v>
      </c>
      <c r="L203" s="508">
        <f t="shared" si="17"/>
        <v>2635.92</v>
      </c>
    </row>
    <row r="204" spans="1:12">
      <c r="A204" s="492" t="str">
        <f t="shared" si="16"/>
        <v>524</v>
      </c>
      <c r="B204" s="504" t="s">
        <v>2238</v>
      </c>
      <c r="C204" s="504" t="s">
        <v>2239</v>
      </c>
      <c r="D204" s="509"/>
      <c r="E204" s="494">
        <v>0</v>
      </c>
      <c r="F204" s="494"/>
      <c r="G204" s="494">
        <v>2271.88</v>
      </c>
      <c r="H204" s="494">
        <v>0</v>
      </c>
      <c r="I204" s="506">
        <v>2271.88</v>
      </c>
      <c r="J204" s="507">
        <f t="shared" si="15"/>
        <v>2271.88</v>
      </c>
      <c r="L204" s="508">
        <f t="shared" si="17"/>
        <v>2271.88</v>
      </c>
    </row>
    <row r="205" spans="1:12">
      <c r="A205" s="492" t="str">
        <f t="shared" si="16"/>
        <v>524</v>
      </c>
      <c r="B205" s="504" t="s">
        <v>2240</v>
      </c>
      <c r="C205" s="504" t="s">
        <v>2241</v>
      </c>
      <c r="D205" s="509"/>
      <c r="E205" s="494">
        <v>0</v>
      </c>
      <c r="F205" s="494"/>
      <c r="G205" s="494">
        <v>2070.3000000000002</v>
      </c>
      <c r="H205" s="494">
        <v>0</v>
      </c>
      <c r="I205" s="506">
        <v>2070.3000000000002</v>
      </c>
      <c r="J205" s="507">
        <f t="shared" si="15"/>
        <v>2070.3000000000002</v>
      </c>
      <c r="L205" s="508">
        <f t="shared" si="17"/>
        <v>2070.3000000000002</v>
      </c>
    </row>
    <row r="206" spans="1:12">
      <c r="A206" s="492" t="str">
        <f t="shared" si="16"/>
        <v>524</v>
      </c>
      <c r="B206" s="504" t="s">
        <v>2242</v>
      </c>
      <c r="C206" s="504" t="s">
        <v>2243</v>
      </c>
      <c r="D206" s="509"/>
      <c r="E206" s="494">
        <v>0</v>
      </c>
      <c r="F206" s="494"/>
      <c r="G206" s="494">
        <v>688.12</v>
      </c>
      <c r="H206" s="494">
        <v>0</v>
      </c>
      <c r="I206" s="506">
        <v>688.12</v>
      </c>
      <c r="J206" s="507">
        <f t="shared" si="15"/>
        <v>688.12</v>
      </c>
      <c r="L206" s="508">
        <f t="shared" si="17"/>
        <v>688.12</v>
      </c>
    </row>
    <row r="207" spans="1:12">
      <c r="A207" s="492" t="str">
        <f t="shared" si="16"/>
        <v>524</v>
      </c>
      <c r="B207" s="504" t="s">
        <v>2244</v>
      </c>
      <c r="C207" s="504" t="s">
        <v>2245</v>
      </c>
      <c r="D207" s="509"/>
      <c r="E207" s="494">
        <v>0</v>
      </c>
      <c r="F207" s="494"/>
      <c r="G207" s="494">
        <v>314.25</v>
      </c>
      <c r="H207" s="494">
        <v>0</v>
      </c>
      <c r="I207" s="506">
        <v>314.25</v>
      </c>
      <c r="J207" s="507">
        <f t="shared" si="15"/>
        <v>314.25</v>
      </c>
      <c r="L207" s="508">
        <f t="shared" si="17"/>
        <v>314.25</v>
      </c>
    </row>
    <row r="208" spans="1:12">
      <c r="A208" s="492" t="str">
        <f t="shared" si="16"/>
        <v>524</v>
      </c>
      <c r="B208" s="504" t="s">
        <v>2246</v>
      </c>
      <c r="C208" s="504" t="s">
        <v>2247</v>
      </c>
      <c r="D208" s="509"/>
      <c r="E208" s="494">
        <v>0</v>
      </c>
      <c r="F208" s="494"/>
      <c r="G208" s="494">
        <v>224.92</v>
      </c>
      <c r="H208" s="494">
        <v>0</v>
      </c>
      <c r="I208" s="506">
        <v>224.92</v>
      </c>
      <c r="J208" s="507">
        <f t="shared" si="15"/>
        <v>224.92</v>
      </c>
      <c r="L208" s="508">
        <f t="shared" si="17"/>
        <v>224.92</v>
      </c>
    </row>
    <row r="209" spans="1:12">
      <c r="A209" s="492" t="str">
        <f t="shared" si="16"/>
        <v>524</v>
      </c>
      <c r="B209" s="504" t="s">
        <v>2248</v>
      </c>
      <c r="C209" s="504" t="s">
        <v>2249</v>
      </c>
      <c r="D209" s="509"/>
      <c r="E209" s="494">
        <v>0</v>
      </c>
      <c r="F209" s="494"/>
      <c r="G209" s="494">
        <v>-3045.57</v>
      </c>
      <c r="H209" s="494">
        <v>0</v>
      </c>
      <c r="I209" s="506">
        <v>-3045.57</v>
      </c>
      <c r="J209" s="507">
        <f t="shared" si="15"/>
        <v>-3045.57</v>
      </c>
      <c r="L209" s="508">
        <f t="shared" si="17"/>
        <v>-3045.57</v>
      </c>
    </row>
    <row r="210" spans="1:12">
      <c r="A210" s="492" t="str">
        <f t="shared" si="16"/>
        <v>524</v>
      </c>
      <c r="B210" s="504" t="s">
        <v>2250</v>
      </c>
      <c r="C210" s="504" t="s">
        <v>2251</v>
      </c>
      <c r="D210" s="509"/>
      <c r="E210" s="494">
        <v>0</v>
      </c>
      <c r="F210" s="494"/>
      <c r="G210" s="494">
        <v>22709.17</v>
      </c>
      <c r="H210" s="494">
        <v>0</v>
      </c>
      <c r="I210" s="506">
        <v>22709.17</v>
      </c>
      <c r="J210" s="507">
        <f t="shared" si="15"/>
        <v>22709.17</v>
      </c>
      <c r="L210" s="508">
        <f t="shared" si="17"/>
        <v>22709.17</v>
      </c>
    </row>
    <row r="211" spans="1:12">
      <c r="A211" s="492" t="str">
        <f t="shared" si="16"/>
        <v>524</v>
      </c>
      <c r="B211" s="504" t="s">
        <v>2252</v>
      </c>
      <c r="C211" s="504" t="s">
        <v>2253</v>
      </c>
      <c r="D211" s="509"/>
      <c r="E211" s="494">
        <v>0</v>
      </c>
      <c r="F211" s="494"/>
      <c r="G211" s="494">
        <v>900.22</v>
      </c>
      <c r="H211" s="494">
        <v>0</v>
      </c>
      <c r="I211" s="506">
        <v>900.22</v>
      </c>
      <c r="J211" s="507">
        <f t="shared" si="15"/>
        <v>900.22</v>
      </c>
      <c r="L211" s="508">
        <f t="shared" si="17"/>
        <v>900.22</v>
      </c>
    </row>
    <row r="212" spans="1:12">
      <c r="A212" s="492" t="str">
        <f t="shared" si="16"/>
        <v>524</v>
      </c>
      <c r="B212" s="504" t="s">
        <v>2254</v>
      </c>
      <c r="C212" s="504" t="s">
        <v>2255</v>
      </c>
      <c r="D212" s="509"/>
      <c r="E212" s="494">
        <v>0</v>
      </c>
      <c r="F212" s="494"/>
      <c r="G212" s="494">
        <v>2472.2399999999998</v>
      </c>
      <c r="H212" s="494">
        <v>0</v>
      </c>
      <c r="I212" s="506">
        <v>2472.2399999999998</v>
      </c>
      <c r="J212" s="507">
        <f t="shared" ref="J212:J269" si="18">+I212</f>
        <v>2472.2399999999998</v>
      </c>
      <c r="L212" s="508">
        <f t="shared" si="17"/>
        <v>2472.2399999999998</v>
      </c>
    </row>
    <row r="213" spans="1:12">
      <c r="A213" s="492" t="str">
        <f t="shared" si="16"/>
        <v>524</v>
      </c>
      <c r="B213" s="504" t="s">
        <v>2256</v>
      </c>
      <c r="C213" s="504" t="s">
        <v>2257</v>
      </c>
      <c r="D213" s="509"/>
      <c r="E213" s="494">
        <v>0</v>
      </c>
      <c r="F213" s="494"/>
      <c r="G213" s="494">
        <v>5.48</v>
      </c>
      <c r="H213" s="494">
        <v>0</v>
      </c>
      <c r="I213" s="506">
        <v>5.48</v>
      </c>
      <c r="J213" s="507">
        <f t="shared" si="18"/>
        <v>5.48</v>
      </c>
      <c r="L213" s="508">
        <f t="shared" si="17"/>
        <v>5.48</v>
      </c>
    </row>
    <row r="214" spans="1:12">
      <c r="A214" s="492" t="str">
        <f t="shared" si="16"/>
        <v>525</v>
      </c>
      <c r="B214" s="504" t="s">
        <v>2258</v>
      </c>
      <c r="C214" s="504" t="s">
        <v>2259</v>
      </c>
      <c r="D214" s="509"/>
      <c r="E214" s="494">
        <v>0</v>
      </c>
      <c r="F214" s="494"/>
      <c r="G214" s="494">
        <v>1254.67</v>
      </c>
      <c r="H214" s="494">
        <v>0</v>
      </c>
      <c r="I214" s="506">
        <v>1254.67</v>
      </c>
      <c r="J214" s="507">
        <f t="shared" si="18"/>
        <v>1254.67</v>
      </c>
      <c r="L214" s="508">
        <f t="shared" si="17"/>
        <v>1254.67</v>
      </c>
    </row>
    <row r="215" spans="1:12">
      <c r="A215" s="492" t="str">
        <f t="shared" si="16"/>
        <v>527</v>
      </c>
      <c r="B215" s="504" t="s">
        <v>2260</v>
      </c>
      <c r="C215" s="504" t="s">
        <v>2261</v>
      </c>
      <c r="D215" s="509"/>
      <c r="E215" s="494">
        <v>0</v>
      </c>
      <c r="F215" s="494"/>
      <c r="G215" s="494">
        <v>15684.43</v>
      </c>
      <c r="H215" s="494">
        <v>0</v>
      </c>
      <c r="I215" s="506">
        <v>15684.43</v>
      </c>
      <c r="J215" s="507">
        <f t="shared" si="18"/>
        <v>15684.43</v>
      </c>
      <c r="L215" s="508">
        <f t="shared" si="17"/>
        <v>15684.43</v>
      </c>
    </row>
    <row r="216" spans="1:12">
      <c r="A216" s="492" t="str">
        <f t="shared" si="16"/>
        <v>527</v>
      </c>
      <c r="B216" s="504" t="s">
        <v>2262</v>
      </c>
      <c r="C216" s="504" t="s">
        <v>2263</v>
      </c>
      <c r="D216" s="509"/>
      <c r="E216" s="494">
        <v>0</v>
      </c>
      <c r="F216" s="494"/>
      <c r="G216" s="494">
        <v>1860.43</v>
      </c>
      <c r="H216" s="494">
        <v>0</v>
      </c>
      <c r="I216" s="506">
        <v>1860.43</v>
      </c>
      <c r="J216" s="507">
        <f t="shared" si="18"/>
        <v>1860.43</v>
      </c>
      <c r="L216" s="508">
        <f t="shared" si="17"/>
        <v>1860.43</v>
      </c>
    </row>
    <row r="217" spans="1:12">
      <c r="A217" s="492" t="str">
        <f t="shared" si="16"/>
        <v>527</v>
      </c>
      <c r="B217" s="504" t="s">
        <v>2264</v>
      </c>
      <c r="C217" s="504" t="s">
        <v>2265</v>
      </c>
      <c r="D217" s="509"/>
      <c r="E217" s="494">
        <v>0</v>
      </c>
      <c r="F217" s="494"/>
      <c r="G217" s="494">
        <v>5516.56</v>
      </c>
      <c r="H217" s="494">
        <v>0</v>
      </c>
      <c r="I217" s="506">
        <v>5516.56</v>
      </c>
      <c r="J217" s="507">
        <f t="shared" si="18"/>
        <v>5516.56</v>
      </c>
      <c r="L217" s="508">
        <f t="shared" si="17"/>
        <v>5516.56</v>
      </c>
    </row>
    <row r="218" spans="1:12">
      <c r="A218" s="492" t="str">
        <f t="shared" si="16"/>
        <v>527</v>
      </c>
      <c r="B218" s="504" t="s">
        <v>2266</v>
      </c>
      <c r="C218" s="504" t="s">
        <v>2267</v>
      </c>
      <c r="D218" s="509"/>
      <c r="E218" s="494">
        <v>0</v>
      </c>
      <c r="F218" s="494"/>
      <c r="G218" s="494">
        <v>405.03</v>
      </c>
      <c r="H218" s="494">
        <v>0</v>
      </c>
      <c r="I218" s="506">
        <v>405.03</v>
      </c>
      <c r="J218" s="507">
        <f t="shared" si="18"/>
        <v>405.03</v>
      </c>
      <c r="L218" s="508">
        <f t="shared" si="17"/>
        <v>405.03</v>
      </c>
    </row>
    <row r="219" spans="1:12">
      <c r="A219" s="492" t="str">
        <f t="shared" si="16"/>
        <v>527</v>
      </c>
      <c r="B219" s="504" t="s">
        <v>2268</v>
      </c>
      <c r="C219" s="504" t="s">
        <v>2269</v>
      </c>
      <c r="D219" s="509"/>
      <c r="E219" s="494">
        <v>0</v>
      </c>
      <c r="F219" s="494"/>
      <c r="G219" s="494">
        <v>6999.59</v>
      </c>
      <c r="H219" s="494">
        <v>0</v>
      </c>
      <c r="I219" s="506">
        <v>6999.59</v>
      </c>
      <c r="J219" s="507">
        <f t="shared" si="18"/>
        <v>6999.59</v>
      </c>
      <c r="L219" s="508">
        <f t="shared" si="17"/>
        <v>6999.59</v>
      </c>
    </row>
    <row r="220" spans="1:12">
      <c r="A220" s="492" t="str">
        <f t="shared" si="16"/>
        <v>527</v>
      </c>
      <c r="B220" s="504" t="s">
        <v>2270</v>
      </c>
      <c r="C220" s="504" t="s">
        <v>2271</v>
      </c>
      <c r="D220" s="509"/>
      <c r="E220" s="494">
        <v>0</v>
      </c>
      <c r="F220" s="494"/>
      <c r="G220" s="494">
        <v>2774.37</v>
      </c>
      <c r="H220" s="494">
        <v>0</v>
      </c>
      <c r="I220" s="506">
        <v>2774.37</v>
      </c>
      <c r="J220" s="507">
        <f t="shared" si="18"/>
        <v>2774.37</v>
      </c>
      <c r="L220" s="508">
        <f t="shared" si="17"/>
        <v>2774.37</v>
      </c>
    </row>
    <row r="221" spans="1:12">
      <c r="A221" s="492" t="str">
        <f t="shared" si="16"/>
        <v>527</v>
      </c>
      <c r="B221" s="504" t="s">
        <v>2272</v>
      </c>
      <c r="C221" s="504" t="s">
        <v>2273</v>
      </c>
      <c r="D221" s="509"/>
      <c r="E221" s="494">
        <v>0</v>
      </c>
      <c r="F221" s="494"/>
      <c r="G221" s="494">
        <v>3468.96</v>
      </c>
      <c r="H221" s="494">
        <v>0</v>
      </c>
      <c r="I221" s="506">
        <v>3468.96</v>
      </c>
      <c r="J221" s="507">
        <f t="shared" si="18"/>
        <v>3468.96</v>
      </c>
      <c r="L221" s="508">
        <f t="shared" si="17"/>
        <v>3468.96</v>
      </c>
    </row>
    <row r="222" spans="1:12">
      <c r="A222" s="492" t="str">
        <f t="shared" si="16"/>
        <v>527</v>
      </c>
      <c r="B222" s="504" t="s">
        <v>2274</v>
      </c>
      <c r="C222" s="504" t="s">
        <v>2275</v>
      </c>
      <c r="D222" s="509"/>
      <c r="E222" s="494">
        <v>0</v>
      </c>
      <c r="F222" s="494"/>
      <c r="G222" s="494">
        <v>2975.02</v>
      </c>
      <c r="H222" s="494">
        <v>0</v>
      </c>
      <c r="I222" s="506">
        <v>2975.02</v>
      </c>
      <c r="J222" s="507">
        <f t="shared" si="18"/>
        <v>2975.02</v>
      </c>
      <c r="L222" s="508">
        <f t="shared" si="17"/>
        <v>2975.02</v>
      </c>
    </row>
    <row r="223" spans="1:12">
      <c r="A223" s="492" t="str">
        <f t="shared" si="16"/>
        <v>527</v>
      </c>
      <c r="B223" s="504" t="s">
        <v>2276</v>
      </c>
      <c r="C223" s="504" t="s">
        <v>2277</v>
      </c>
      <c r="D223" s="509"/>
      <c r="E223" s="494">
        <v>0</v>
      </c>
      <c r="F223" s="494"/>
      <c r="G223" s="494">
        <v>479.74</v>
      </c>
      <c r="H223" s="494">
        <v>0</v>
      </c>
      <c r="I223" s="506">
        <v>479.74</v>
      </c>
      <c r="J223" s="507">
        <f t="shared" si="18"/>
        <v>479.74</v>
      </c>
      <c r="L223" s="508">
        <f t="shared" si="17"/>
        <v>479.74</v>
      </c>
    </row>
    <row r="224" spans="1:12">
      <c r="A224" s="492" t="str">
        <f t="shared" si="16"/>
        <v>527</v>
      </c>
      <c r="B224" s="504" t="s">
        <v>2278</v>
      </c>
      <c r="C224" s="504" t="s">
        <v>2279</v>
      </c>
      <c r="D224" s="509"/>
      <c r="E224" s="494">
        <v>0</v>
      </c>
      <c r="F224" s="494"/>
      <c r="G224" s="494">
        <v>19392.72</v>
      </c>
      <c r="H224" s="494">
        <v>0</v>
      </c>
      <c r="I224" s="506">
        <v>19392.72</v>
      </c>
      <c r="J224" s="507">
        <f t="shared" si="18"/>
        <v>19392.72</v>
      </c>
      <c r="L224" s="508">
        <f t="shared" si="17"/>
        <v>19392.72</v>
      </c>
    </row>
    <row r="225" spans="1:12">
      <c r="A225" s="492" t="str">
        <f t="shared" si="16"/>
        <v>527</v>
      </c>
      <c r="B225" s="504" t="s">
        <v>2280</v>
      </c>
      <c r="C225" s="504" t="s">
        <v>2281</v>
      </c>
      <c r="D225" s="509"/>
      <c r="E225" s="494">
        <v>0</v>
      </c>
      <c r="F225" s="494"/>
      <c r="G225" s="494">
        <v>899.9</v>
      </c>
      <c r="H225" s="494">
        <v>0</v>
      </c>
      <c r="I225" s="506">
        <v>899.9</v>
      </c>
      <c r="J225" s="507">
        <f t="shared" si="18"/>
        <v>899.9</v>
      </c>
      <c r="L225" s="508">
        <f t="shared" si="17"/>
        <v>899.9</v>
      </c>
    </row>
    <row r="226" spans="1:12">
      <c r="A226" s="492" t="str">
        <f t="shared" si="16"/>
        <v>527</v>
      </c>
      <c r="B226" s="504" t="s">
        <v>2282</v>
      </c>
      <c r="C226" s="504" t="s">
        <v>2283</v>
      </c>
      <c r="D226" s="509"/>
      <c r="E226" s="494">
        <v>0</v>
      </c>
      <c r="F226" s="494"/>
      <c r="G226" s="494">
        <v>2058.8200000000002</v>
      </c>
      <c r="H226" s="494">
        <v>0</v>
      </c>
      <c r="I226" s="506">
        <v>2058.8200000000002</v>
      </c>
      <c r="J226" s="507">
        <f t="shared" si="18"/>
        <v>2058.8200000000002</v>
      </c>
      <c r="L226" s="508">
        <f t="shared" si="17"/>
        <v>2058.8200000000002</v>
      </c>
    </row>
    <row r="227" spans="1:12">
      <c r="A227" s="492" t="str">
        <f t="shared" si="16"/>
        <v>527</v>
      </c>
      <c r="B227" s="504" t="s">
        <v>2284</v>
      </c>
      <c r="C227" s="504" t="s">
        <v>2285</v>
      </c>
      <c r="D227" s="509"/>
      <c r="E227" s="494">
        <v>0</v>
      </c>
      <c r="F227" s="494"/>
      <c r="G227" s="494">
        <v>18.7</v>
      </c>
      <c r="H227" s="494">
        <v>0</v>
      </c>
      <c r="I227" s="506">
        <v>18.7</v>
      </c>
      <c r="J227" s="507">
        <f t="shared" si="18"/>
        <v>18.7</v>
      </c>
      <c r="L227" s="508">
        <f t="shared" si="17"/>
        <v>18.7</v>
      </c>
    </row>
    <row r="228" spans="1:12">
      <c r="A228" s="492" t="str">
        <f t="shared" si="16"/>
        <v>527</v>
      </c>
      <c r="B228" s="504" t="s">
        <v>2286</v>
      </c>
      <c r="C228" s="504" t="s">
        <v>2287</v>
      </c>
      <c r="D228" s="509"/>
      <c r="E228" s="494">
        <v>0</v>
      </c>
      <c r="F228" s="494"/>
      <c r="G228" s="494">
        <v>87.61</v>
      </c>
      <c r="H228" s="494">
        <v>0</v>
      </c>
      <c r="I228" s="506">
        <v>87.61</v>
      </c>
      <c r="J228" s="507">
        <f t="shared" si="18"/>
        <v>87.61</v>
      </c>
      <c r="L228" s="508">
        <f t="shared" si="17"/>
        <v>87.61</v>
      </c>
    </row>
    <row r="229" spans="1:12">
      <c r="A229" s="492" t="str">
        <f t="shared" si="16"/>
        <v>527</v>
      </c>
      <c r="B229" s="504" t="s">
        <v>2288</v>
      </c>
      <c r="C229" s="504" t="s">
        <v>2289</v>
      </c>
      <c r="D229" s="509"/>
      <c r="E229" s="494">
        <v>0</v>
      </c>
      <c r="F229" s="494"/>
      <c r="G229" s="494">
        <v>155.28</v>
      </c>
      <c r="H229" s="494">
        <v>0</v>
      </c>
      <c r="I229" s="506">
        <v>155.28</v>
      </c>
      <c r="J229" s="507">
        <f t="shared" si="18"/>
        <v>155.28</v>
      </c>
      <c r="L229" s="508">
        <f t="shared" si="17"/>
        <v>155.28</v>
      </c>
    </row>
    <row r="230" spans="1:12">
      <c r="A230" s="492" t="str">
        <f t="shared" si="16"/>
        <v>527</v>
      </c>
      <c r="B230" s="504" t="s">
        <v>2290</v>
      </c>
      <c r="C230" s="504" t="s">
        <v>2291</v>
      </c>
      <c r="D230" s="509"/>
      <c r="E230" s="494">
        <v>0</v>
      </c>
      <c r="F230" s="494"/>
      <c r="G230" s="494">
        <v>166.5</v>
      </c>
      <c r="H230" s="494">
        <v>0</v>
      </c>
      <c r="I230" s="506">
        <v>166.5</v>
      </c>
      <c r="J230" s="507">
        <f t="shared" si="18"/>
        <v>166.5</v>
      </c>
      <c r="L230" s="508">
        <f t="shared" si="17"/>
        <v>166.5</v>
      </c>
    </row>
    <row r="231" spans="1:12">
      <c r="A231" s="492" t="str">
        <f t="shared" si="16"/>
        <v>527</v>
      </c>
      <c r="B231" s="504" t="s">
        <v>2292</v>
      </c>
      <c r="C231" s="504" t="s">
        <v>2293</v>
      </c>
      <c r="D231" s="509"/>
      <c r="E231" s="494">
        <v>0</v>
      </c>
      <c r="F231" s="494"/>
      <c r="G231" s="494">
        <v>38.57</v>
      </c>
      <c r="H231" s="494">
        <v>0</v>
      </c>
      <c r="I231" s="506">
        <v>38.57</v>
      </c>
      <c r="J231" s="507">
        <f t="shared" si="18"/>
        <v>38.57</v>
      </c>
      <c r="L231" s="508">
        <f t="shared" si="17"/>
        <v>38.57</v>
      </c>
    </row>
    <row r="232" spans="1:12">
      <c r="A232" s="492" t="str">
        <f t="shared" si="16"/>
        <v>528</v>
      </c>
      <c r="B232" s="504" t="s">
        <v>2294</v>
      </c>
      <c r="C232" s="504" t="s">
        <v>2295</v>
      </c>
      <c r="D232" s="509"/>
      <c r="E232" s="494">
        <v>0</v>
      </c>
      <c r="F232" s="494"/>
      <c r="G232" s="494">
        <v>874.04</v>
      </c>
      <c r="H232" s="494">
        <v>0</v>
      </c>
      <c r="I232" s="506">
        <v>874.04</v>
      </c>
      <c r="J232" s="507">
        <f t="shared" si="18"/>
        <v>874.04</v>
      </c>
      <c r="L232" s="508">
        <f t="shared" si="17"/>
        <v>874.04</v>
      </c>
    </row>
    <row r="233" spans="1:12">
      <c r="A233" s="492" t="str">
        <f t="shared" si="16"/>
        <v>538</v>
      </c>
      <c r="B233" s="504" t="s">
        <v>2296</v>
      </c>
      <c r="C233" s="504" t="s">
        <v>2297</v>
      </c>
      <c r="D233" s="509"/>
      <c r="E233" s="494">
        <v>0</v>
      </c>
      <c r="F233" s="494"/>
      <c r="G233" s="494">
        <v>400.33</v>
      </c>
      <c r="H233" s="494">
        <v>0</v>
      </c>
      <c r="I233" s="506">
        <v>400.33</v>
      </c>
      <c r="J233" s="507">
        <f t="shared" si="18"/>
        <v>400.33</v>
      </c>
      <c r="L233" s="508">
        <f t="shared" si="17"/>
        <v>400.33</v>
      </c>
    </row>
    <row r="234" spans="1:12">
      <c r="A234" s="492" t="str">
        <f t="shared" si="16"/>
        <v>538</v>
      </c>
      <c r="B234" s="504" t="s">
        <v>2298</v>
      </c>
      <c r="C234" s="504" t="s">
        <v>2299</v>
      </c>
      <c r="D234" s="509"/>
      <c r="E234" s="494">
        <v>0</v>
      </c>
      <c r="F234" s="494"/>
      <c r="G234" s="494">
        <v>0</v>
      </c>
      <c r="H234" s="494">
        <v>0</v>
      </c>
      <c r="I234" s="506">
        <v>0</v>
      </c>
      <c r="J234" s="507">
        <f t="shared" si="18"/>
        <v>0</v>
      </c>
      <c r="L234" s="508">
        <f t="shared" si="17"/>
        <v>0</v>
      </c>
    </row>
    <row r="235" spans="1:12">
      <c r="A235" s="492" t="str">
        <f t="shared" si="16"/>
        <v>538</v>
      </c>
      <c r="B235" s="504" t="s">
        <v>2300</v>
      </c>
      <c r="C235" s="504" t="s">
        <v>2301</v>
      </c>
      <c r="D235" s="509"/>
      <c r="E235" s="494">
        <v>0</v>
      </c>
      <c r="F235" s="494"/>
      <c r="G235" s="494">
        <v>307.93</v>
      </c>
      <c r="H235" s="494">
        <v>0</v>
      </c>
      <c r="I235" s="506">
        <v>307.93</v>
      </c>
      <c r="J235" s="507">
        <f t="shared" si="18"/>
        <v>307.93</v>
      </c>
      <c r="L235" s="508">
        <f t="shared" si="17"/>
        <v>307.93</v>
      </c>
    </row>
    <row r="236" spans="1:12">
      <c r="A236" s="492" t="str">
        <f t="shared" si="16"/>
        <v>538</v>
      </c>
      <c r="B236" s="504" t="s">
        <v>2302</v>
      </c>
      <c r="C236" s="504" t="s">
        <v>2303</v>
      </c>
      <c r="D236" s="509"/>
      <c r="E236" s="494">
        <v>0</v>
      </c>
      <c r="F236" s="494"/>
      <c r="G236" s="494">
        <v>39.630000000000003</v>
      </c>
      <c r="H236" s="494">
        <v>0</v>
      </c>
      <c r="I236" s="506">
        <v>39.630000000000003</v>
      </c>
      <c r="J236" s="507">
        <f t="shared" si="18"/>
        <v>39.630000000000003</v>
      </c>
      <c r="L236" s="508">
        <f t="shared" si="17"/>
        <v>39.630000000000003</v>
      </c>
    </row>
    <row r="237" spans="1:12">
      <c r="A237" s="492" t="str">
        <f t="shared" si="16"/>
        <v>541</v>
      </c>
      <c r="B237" s="504" t="s">
        <v>2304</v>
      </c>
      <c r="C237" s="504" t="s">
        <v>2305</v>
      </c>
      <c r="D237" s="509"/>
      <c r="E237" s="494">
        <v>0</v>
      </c>
      <c r="F237" s="494"/>
      <c r="G237" s="494">
        <v>8416</v>
      </c>
      <c r="H237" s="494">
        <v>0</v>
      </c>
      <c r="I237" s="506">
        <v>8416</v>
      </c>
      <c r="J237" s="507">
        <f t="shared" si="18"/>
        <v>8416</v>
      </c>
      <c r="L237" s="508">
        <f t="shared" si="17"/>
        <v>8416</v>
      </c>
    </row>
    <row r="238" spans="1:12">
      <c r="A238" s="492" t="str">
        <f t="shared" si="16"/>
        <v>542</v>
      </c>
      <c r="B238" s="504" t="s">
        <v>2306</v>
      </c>
      <c r="C238" s="504" t="s">
        <v>2307</v>
      </c>
      <c r="D238" s="509"/>
      <c r="E238" s="494">
        <v>0</v>
      </c>
      <c r="F238" s="494"/>
      <c r="G238" s="494">
        <v>0</v>
      </c>
      <c r="H238" s="494">
        <v>0</v>
      </c>
      <c r="I238" s="506">
        <v>0</v>
      </c>
      <c r="J238" s="507">
        <f t="shared" si="18"/>
        <v>0</v>
      </c>
      <c r="L238" s="508">
        <f t="shared" si="17"/>
        <v>0</v>
      </c>
    </row>
    <row r="239" spans="1:12">
      <c r="A239" s="492" t="str">
        <f t="shared" si="16"/>
        <v>542</v>
      </c>
      <c r="B239" s="504" t="s">
        <v>2308</v>
      </c>
      <c r="C239" s="504" t="s">
        <v>2309</v>
      </c>
      <c r="D239" s="509"/>
      <c r="E239" s="494">
        <v>0</v>
      </c>
      <c r="F239" s="494"/>
      <c r="G239" s="494">
        <v>2000</v>
      </c>
      <c r="H239" s="494">
        <v>0</v>
      </c>
      <c r="I239" s="506">
        <v>2000</v>
      </c>
      <c r="J239" s="507">
        <f t="shared" si="18"/>
        <v>2000</v>
      </c>
      <c r="L239" s="508">
        <f t="shared" si="17"/>
        <v>2000</v>
      </c>
    </row>
    <row r="240" spans="1:12">
      <c r="A240" s="492" t="str">
        <f t="shared" si="16"/>
        <v>544</v>
      </c>
      <c r="B240" s="504" t="s">
        <v>2310</v>
      </c>
      <c r="C240" s="504" t="s">
        <v>2311</v>
      </c>
      <c r="D240" s="509"/>
      <c r="E240" s="494">
        <v>0</v>
      </c>
      <c r="F240" s="494"/>
      <c r="G240" s="494">
        <v>1.2</v>
      </c>
      <c r="H240" s="494">
        <v>0</v>
      </c>
      <c r="I240" s="506">
        <v>1.2</v>
      </c>
      <c r="J240" s="507">
        <f t="shared" si="18"/>
        <v>1.2</v>
      </c>
      <c r="L240" s="508">
        <f t="shared" si="17"/>
        <v>1.2</v>
      </c>
    </row>
    <row r="241" spans="1:12">
      <c r="A241" s="492" t="str">
        <f t="shared" si="16"/>
        <v>545</v>
      </c>
      <c r="B241" s="504" t="s">
        <v>2312</v>
      </c>
      <c r="C241" s="504" t="s">
        <v>2313</v>
      </c>
      <c r="D241" s="509"/>
      <c r="E241" s="494">
        <v>0</v>
      </c>
      <c r="F241" s="494"/>
      <c r="G241" s="494">
        <v>8.56</v>
      </c>
      <c r="H241" s="494">
        <v>0</v>
      </c>
      <c r="I241" s="506">
        <v>8.56</v>
      </c>
      <c r="J241" s="507">
        <f t="shared" si="18"/>
        <v>8.56</v>
      </c>
      <c r="L241" s="508">
        <f t="shared" si="17"/>
        <v>8.56</v>
      </c>
    </row>
    <row r="242" spans="1:12">
      <c r="A242" s="492" t="str">
        <f t="shared" si="16"/>
        <v>548</v>
      </c>
      <c r="B242" s="504" t="s">
        <v>2314</v>
      </c>
      <c r="C242" s="504" t="s">
        <v>2315</v>
      </c>
      <c r="D242" s="509"/>
      <c r="E242" s="494">
        <v>0</v>
      </c>
      <c r="F242" s="494"/>
      <c r="G242" s="494">
        <v>0</v>
      </c>
      <c r="H242" s="494">
        <v>0</v>
      </c>
      <c r="I242" s="506">
        <v>0</v>
      </c>
      <c r="J242" s="507">
        <f t="shared" si="18"/>
        <v>0</v>
      </c>
      <c r="L242" s="508">
        <f t="shared" si="17"/>
        <v>0</v>
      </c>
    </row>
    <row r="243" spans="1:12">
      <c r="A243" s="492" t="str">
        <f t="shared" si="16"/>
        <v>548</v>
      </c>
      <c r="B243" s="504" t="s">
        <v>2316</v>
      </c>
      <c r="C243" s="504" t="s">
        <v>2317</v>
      </c>
      <c r="D243" s="509"/>
      <c r="E243" s="494">
        <v>0</v>
      </c>
      <c r="F243" s="494"/>
      <c r="G243" s="494">
        <v>45000</v>
      </c>
      <c r="H243" s="494">
        <v>0</v>
      </c>
      <c r="I243" s="506">
        <v>45000</v>
      </c>
      <c r="J243" s="507">
        <f t="shared" si="18"/>
        <v>45000</v>
      </c>
      <c r="L243" s="508">
        <f t="shared" si="17"/>
        <v>45000</v>
      </c>
    </row>
    <row r="244" spans="1:12">
      <c r="A244" s="492" t="str">
        <f t="shared" si="16"/>
        <v>549</v>
      </c>
      <c r="B244" s="504" t="s">
        <v>2318</v>
      </c>
      <c r="C244" s="504" t="s">
        <v>2319</v>
      </c>
      <c r="D244" s="509"/>
      <c r="E244" s="494">
        <v>0</v>
      </c>
      <c r="F244" s="494"/>
      <c r="G244" s="494">
        <v>11607.01</v>
      </c>
      <c r="H244" s="494">
        <v>0</v>
      </c>
      <c r="I244" s="506">
        <v>11607.01</v>
      </c>
      <c r="J244" s="507">
        <f t="shared" si="18"/>
        <v>11607.01</v>
      </c>
      <c r="L244" s="508">
        <f t="shared" si="17"/>
        <v>11607.01</v>
      </c>
    </row>
    <row r="245" spans="1:12">
      <c r="A245" s="492" t="str">
        <f t="shared" si="16"/>
        <v>549</v>
      </c>
      <c r="B245" s="504" t="s">
        <v>2320</v>
      </c>
      <c r="C245" s="504" t="s">
        <v>2321</v>
      </c>
      <c r="D245" s="509"/>
      <c r="E245" s="494">
        <v>0</v>
      </c>
      <c r="F245" s="494"/>
      <c r="G245" s="494">
        <v>9315.34</v>
      </c>
      <c r="H245" s="494">
        <v>0</v>
      </c>
      <c r="I245" s="506">
        <v>9315.34</v>
      </c>
      <c r="J245" s="507">
        <f t="shared" si="18"/>
        <v>9315.34</v>
      </c>
      <c r="L245" s="508">
        <f t="shared" si="17"/>
        <v>9315.34</v>
      </c>
    </row>
    <row r="246" spans="1:12">
      <c r="A246" s="492" t="str">
        <f t="shared" si="16"/>
        <v>549</v>
      </c>
      <c r="B246" s="504" t="s">
        <v>2322</v>
      </c>
      <c r="C246" s="504" t="s">
        <v>2323</v>
      </c>
      <c r="D246" s="509"/>
      <c r="E246" s="494">
        <v>0</v>
      </c>
      <c r="F246" s="494"/>
      <c r="G246" s="494">
        <v>-10000</v>
      </c>
      <c r="H246" s="494">
        <v>0</v>
      </c>
      <c r="I246" s="506">
        <v>-10000</v>
      </c>
      <c r="J246" s="507">
        <f t="shared" si="18"/>
        <v>-10000</v>
      </c>
      <c r="L246" s="508">
        <f t="shared" si="17"/>
        <v>-10000</v>
      </c>
    </row>
    <row r="247" spans="1:12">
      <c r="A247" s="492" t="str">
        <f t="shared" si="16"/>
        <v>549</v>
      </c>
      <c r="B247" s="504" t="s">
        <v>2324</v>
      </c>
      <c r="C247" s="504" t="s">
        <v>2325</v>
      </c>
      <c r="D247" s="509"/>
      <c r="E247" s="494">
        <v>0</v>
      </c>
      <c r="F247" s="494"/>
      <c r="G247" s="494">
        <v>1573.91</v>
      </c>
      <c r="H247" s="494">
        <v>0</v>
      </c>
      <c r="I247" s="506">
        <v>1573.91</v>
      </c>
      <c r="J247" s="507">
        <f t="shared" si="18"/>
        <v>1573.91</v>
      </c>
      <c r="L247" s="508">
        <f t="shared" si="17"/>
        <v>1573.91</v>
      </c>
    </row>
    <row r="248" spans="1:12">
      <c r="A248" s="492" t="str">
        <f t="shared" si="16"/>
        <v>549</v>
      </c>
      <c r="B248" s="504" t="s">
        <v>2326</v>
      </c>
      <c r="C248" s="504" t="s">
        <v>2327</v>
      </c>
      <c r="D248" s="509"/>
      <c r="E248" s="494">
        <v>0</v>
      </c>
      <c r="F248" s="494"/>
      <c r="G248" s="494">
        <v>1171.33</v>
      </c>
      <c r="H248" s="494">
        <v>0</v>
      </c>
      <c r="I248" s="506">
        <v>1171.33</v>
      </c>
      <c r="J248" s="507">
        <f t="shared" si="18"/>
        <v>1171.33</v>
      </c>
      <c r="L248" s="508">
        <f t="shared" si="17"/>
        <v>1171.33</v>
      </c>
    </row>
    <row r="249" spans="1:12">
      <c r="A249" s="492" t="str">
        <f t="shared" si="16"/>
        <v>549</v>
      </c>
      <c r="B249" s="504" t="s">
        <v>2328</v>
      </c>
      <c r="C249" s="504" t="s">
        <v>2329</v>
      </c>
      <c r="D249" s="509"/>
      <c r="E249" s="494">
        <v>0</v>
      </c>
      <c r="F249" s="494"/>
      <c r="G249" s="494">
        <v>-24.55</v>
      </c>
      <c r="H249" s="494">
        <v>0</v>
      </c>
      <c r="I249" s="506">
        <v>-24.55</v>
      </c>
      <c r="J249" s="507">
        <f t="shared" si="18"/>
        <v>-24.55</v>
      </c>
      <c r="L249" s="508">
        <f t="shared" si="17"/>
        <v>-24.55</v>
      </c>
    </row>
    <row r="250" spans="1:12">
      <c r="A250" s="492" t="str">
        <f t="shared" si="16"/>
        <v>549</v>
      </c>
      <c r="B250" s="504" t="s">
        <v>2330</v>
      </c>
      <c r="C250" s="504" t="s">
        <v>2331</v>
      </c>
      <c r="D250" s="509"/>
      <c r="E250" s="494">
        <v>0</v>
      </c>
      <c r="F250" s="494"/>
      <c r="G250" s="494">
        <v>210.73</v>
      </c>
      <c r="H250" s="494">
        <v>0</v>
      </c>
      <c r="I250" s="506">
        <v>210.73</v>
      </c>
      <c r="J250" s="507">
        <f t="shared" si="18"/>
        <v>210.73</v>
      </c>
      <c r="L250" s="508">
        <f t="shared" si="17"/>
        <v>210.73</v>
      </c>
    </row>
    <row r="251" spans="1:12">
      <c r="A251" s="492" t="str">
        <f t="shared" si="16"/>
        <v>549</v>
      </c>
      <c r="B251" s="504" t="s">
        <v>2332</v>
      </c>
      <c r="C251" s="504" t="s">
        <v>2333</v>
      </c>
      <c r="D251" s="509"/>
      <c r="E251" s="494">
        <v>0</v>
      </c>
      <c r="F251" s="494"/>
      <c r="G251" s="494">
        <v>163.69999999999999</v>
      </c>
      <c r="H251" s="494">
        <v>0</v>
      </c>
      <c r="I251" s="506">
        <v>163.69999999999999</v>
      </c>
      <c r="J251" s="507">
        <f t="shared" si="18"/>
        <v>163.69999999999999</v>
      </c>
      <c r="L251" s="508">
        <f t="shared" si="17"/>
        <v>163.69999999999999</v>
      </c>
    </row>
    <row r="252" spans="1:12">
      <c r="A252" s="492" t="str">
        <f t="shared" si="16"/>
        <v>549</v>
      </c>
      <c r="B252" s="504" t="s">
        <v>2334</v>
      </c>
      <c r="C252" s="504" t="s">
        <v>2335</v>
      </c>
      <c r="D252" s="509"/>
      <c r="E252" s="494">
        <v>0</v>
      </c>
      <c r="F252" s="494"/>
      <c r="G252" s="494">
        <v>92.87</v>
      </c>
      <c r="H252" s="494">
        <v>0</v>
      </c>
      <c r="I252" s="506">
        <v>92.87</v>
      </c>
      <c r="J252" s="507">
        <f t="shared" si="18"/>
        <v>92.87</v>
      </c>
      <c r="L252" s="508">
        <f t="shared" si="17"/>
        <v>92.87</v>
      </c>
    </row>
    <row r="253" spans="1:12">
      <c r="A253" s="492" t="str">
        <f t="shared" si="16"/>
        <v>551</v>
      </c>
      <c r="B253" s="504" t="s">
        <v>2336</v>
      </c>
      <c r="C253" s="504" t="s">
        <v>2337</v>
      </c>
      <c r="D253" s="509"/>
      <c r="E253" s="494">
        <v>0</v>
      </c>
      <c r="F253" s="494"/>
      <c r="G253" s="494">
        <v>750</v>
      </c>
      <c r="H253" s="494">
        <v>0</v>
      </c>
      <c r="I253" s="506">
        <v>750</v>
      </c>
      <c r="J253" s="507">
        <f t="shared" si="18"/>
        <v>750</v>
      </c>
      <c r="L253" s="508">
        <f t="shared" si="17"/>
        <v>750</v>
      </c>
    </row>
    <row r="254" spans="1:12">
      <c r="A254" s="492" t="str">
        <f t="shared" si="16"/>
        <v>551</v>
      </c>
      <c r="B254" s="504" t="s">
        <v>2338</v>
      </c>
      <c r="C254" s="504" t="s">
        <v>2339</v>
      </c>
      <c r="D254" s="509"/>
      <c r="E254" s="494">
        <v>0</v>
      </c>
      <c r="F254" s="494"/>
      <c r="G254" s="494">
        <v>2264.2800000000002</v>
      </c>
      <c r="H254" s="494">
        <v>0</v>
      </c>
      <c r="I254" s="506">
        <v>2264.2800000000002</v>
      </c>
      <c r="J254" s="507">
        <f t="shared" si="18"/>
        <v>2264.2800000000002</v>
      </c>
      <c r="L254" s="508">
        <f t="shared" si="17"/>
        <v>2264.2800000000002</v>
      </c>
    </row>
    <row r="255" spans="1:12">
      <c r="A255" s="492" t="str">
        <f t="shared" si="16"/>
        <v>551</v>
      </c>
      <c r="B255" s="504" t="s">
        <v>2340</v>
      </c>
      <c r="C255" s="504" t="s">
        <v>2341</v>
      </c>
      <c r="D255" s="509"/>
      <c r="E255" s="494">
        <v>0</v>
      </c>
      <c r="F255" s="494"/>
      <c r="G255" s="494">
        <v>873.75</v>
      </c>
      <c r="H255" s="494">
        <v>0</v>
      </c>
      <c r="I255" s="506">
        <v>873.75</v>
      </c>
      <c r="J255" s="507">
        <f t="shared" si="18"/>
        <v>873.75</v>
      </c>
      <c r="L255" s="508">
        <f t="shared" si="17"/>
        <v>873.75</v>
      </c>
    </row>
    <row r="256" spans="1:12">
      <c r="A256" s="492" t="str">
        <f t="shared" si="16"/>
        <v>551</v>
      </c>
      <c r="B256" s="504" t="s">
        <v>2342</v>
      </c>
      <c r="C256" s="504" t="s">
        <v>2343</v>
      </c>
      <c r="D256" s="509"/>
      <c r="E256" s="494">
        <v>0</v>
      </c>
      <c r="F256" s="494"/>
      <c r="G256" s="494">
        <v>297.33999999999997</v>
      </c>
      <c r="H256" s="494">
        <v>0</v>
      </c>
      <c r="I256" s="506">
        <v>297.33999999999997</v>
      </c>
      <c r="J256" s="507">
        <f t="shared" si="18"/>
        <v>297.33999999999997</v>
      </c>
      <c r="L256" s="508">
        <f t="shared" si="17"/>
        <v>297.33999999999997</v>
      </c>
    </row>
    <row r="257" spans="1:12">
      <c r="A257" s="492" t="str">
        <f t="shared" si="16"/>
        <v>551</v>
      </c>
      <c r="B257" s="504" t="s">
        <v>2344</v>
      </c>
      <c r="C257" s="504" t="s">
        <v>2345</v>
      </c>
      <c r="D257" s="509"/>
      <c r="E257" s="494">
        <v>0</v>
      </c>
      <c r="F257" s="494"/>
      <c r="G257" s="494">
        <v>99.48</v>
      </c>
      <c r="H257" s="494">
        <v>0</v>
      </c>
      <c r="I257" s="506">
        <v>99.48</v>
      </c>
      <c r="J257" s="507">
        <f t="shared" si="18"/>
        <v>99.48</v>
      </c>
      <c r="L257" s="508">
        <f t="shared" si="17"/>
        <v>99.48</v>
      </c>
    </row>
    <row r="258" spans="1:12">
      <c r="A258" s="492" t="str">
        <f t="shared" si="16"/>
        <v>551</v>
      </c>
      <c r="B258" s="504" t="s">
        <v>2346</v>
      </c>
      <c r="C258" s="504" t="s">
        <v>2347</v>
      </c>
      <c r="D258" s="509"/>
      <c r="E258" s="494">
        <v>0</v>
      </c>
      <c r="F258" s="494"/>
      <c r="G258" s="494">
        <v>237.48</v>
      </c>
      <c r="H258" s="494">
        <v>0</v>
      </c>
      <c r="I258" s="506">
        <v>237.48</v>
      </c>
      <c r="J258" s="507">
        <f t="shared" si="18"/>
        <v>237.48</v>
      </c>
      <c r="L258" s="508">
        <f t="shared" si="17"/>
        <v>237.48</v>
      </c>
    </row>
    <row r="259" spans="1:12">
      <c r="A259" s="492" t="str">
        <f t="shared" si="16"/>
        <v>551</v>
      </c>
      <c r="B259" s="504" t="s">
        <v>2348</v>
      </c>
      <c r="C259" s="504" t="s">
        <v>2349</v>
      </c>
      <c r="D259" s="509"/>
      <c r="E259" s="494">
        <v>0</v>
      </c>
      <c r="F259" s="494"/>
      <c r="G259" s="494">
        <v>982.17</v>
      </c>
      <c r="H259" s="494">
        <v>0</v>
      </c>
      <c r="I259" s="506">
        <v>982.17</v>
      </c>
      <c r="J259" s="507">
        <f t="shared" si="18"/>
        <v>982.17</v>
      </c>
      <c r="L259" s="508">
        <f t="shared" si="17"/>
        <v>982.17</v>
      </c>
    </row>
    <row r="260" spans="1:12">
      <c r="A260" s="492" t="str">
        <f t="shared" si="16"/>
        <v>551</v>
      </c>
      <c r="B260" s="504" t="s">
        <v>2350</v>
      </c>
      <c r="C260" s="504" t="s">
        <v>2351</v>
      </c>
      <c r="D260" s="509"/>
      <c r="E260" s="494">
        <v>0</v>
      </c>
      <c r="F260" s="494"/>
      <c r="G260" s="494">
        <v>56.36</v>
      </c>
      <c r="H260" s="494">
        <v>0</v>
      </c>
      <c r="I260" s="506">
        <v>56.36</v>
      </c>
      <c r="J260" s="507">
        <f t="shared" si="18"/>
        <v>56.36</v>
      </c>
      <c r="L260" s="508">
        <f t="shared" si="17"/>
        <v>56.36</v>
      </c>
    </row>
    <row r="261" spans="1:12">
      <c r="A261" s="492" t="str">
        <f t="shared" si="16"/>
        <v>552</v>
      </c>
      <c r="B261" s="504" t="s">
        <v>2352</v>
      </c>
      <c r="C261" s="504" t="s">
        <v>2353</v>
      </c>
      <c r="D261" s="509"/>
      <c r="E261" s="494">
        <v>0</v>
      </c>
      <c r="F261" s="494"/>
      <c r="G261" s="494">
        <v>3375</v>
      </c>
      <c r="H261" s="494">
        <v>0</v>
      </c>
      <c r="I261" s="506">
        <v>3375</v>
      </c>
      <c r="J261" s="507">
        <f t="shared" si="18"/>
        <v>3375</v>
      </c>
      <c r="L261" s="508">
        <f t="shared" si="17"/>
        <v>3375</v>
      </c>
    </row>
    <row r="262" spans="1:12">
      <c r="A262" s="492" t="str">
        <f t="shared" ref="A262:A325" si="19">LEFT(B262,3)</f>
        <v>552</v>
      </c>
      <c r="B262" s="504" t="s">
        <v>2354</v>
      </c>
      <c r="C262" s="504" t="s">
        <v>2355</v>
      </c>
      <c r="D262" s="509"/>
      <c r="E262" s="494">
        <v>0</v>
      </c>
      <c r="F262" s="494"/>
      <c r="G262" s="494">
        <v>46751.73</v>
      </c>
      <c r="H262" s="494">
        <v>0</v>
      </c>
      <c r="I262" s="506">
        <v>46751.73</v>
      </c>
      <c r="J262" s="507">
        <f t="shared" si="18"/>
        <v>46751.73</v>
      </c>
      <c r="L262" s="508">
        <f t="shared" ref="L262:L325" si="20">+J262+K262</f>
        <v>46751.73</v>
      </c>
    </row>
    <row r="263" spans="1:12">
      <c r="A263" s="492" t="str">
        <f t="shared" si="19"/>
        <v>554</v>
      </c>
      <c r="B263" s="504" t="s">
        <v>2356</v>
      </c>
      <c r="C263" s="504" t="s">
        <v>2357</v>
      </c>
      <c r="D263" s="509"/>
      <c r="E263" s="494">
        <v>0</v>
      </c>
      <c r="F263" s="494"/>
      <c r="G263" s="494">
        <v>211111.74</v>
      </c>
      <c r="H263" s="494">
        <v>0</v>
      </c>
      <c r="I263" s="506">
        <v>211111.74</v>
      </c>
      <c r="J263" s="507">
        <f t="shared" si="18"/>
        <v>211111.74</v>
      </c>
      <c r="L263" s="508">
        <f t="shared" si="20"/>
        <v>211111.74</v>
      </c>
    </row>
    <row r="264" spans="1:12">
      <c r="A264" s="492" t="str">
        <f t="shared" si="19"/>
        <v>554</v>
      </c>
      <c r="B264" s="504" t="s">
        <v>2358</v>
      </c>
      <c r="C264" s="504" t="s">
        <v>2359</v>
      </c>
      <c r="D264" s="509"/>
      <c r="E264" s="494">
        <v>0</v>
      </c>
      <c r="F264" s="494"/>
      <c r="G264" s="494">
        <v>63805.440000000002</v>
      </c>
      <c r="H264" s="494">
        <v>0</v>
      </c>
      <c r="I264" s="506">
        <v>63805.440000000002</v>
      </c>
      <c r="J264" s="507">
        <f t="shared" si="18"/>
        <v>63805.440000000002</v>
      </c>
      <c r="L264" s="508">
        <f t="shared" si="20"/>
        <v>63805.440000000002</v>
      </c>
    </row>
    <row r="265" spans="1:12">
      <c r="A265" s="492" t="str">
        <f t="shared" si="19"/>
        <v>554</v>
      </c>
      <c r="B265" s="504" t="s">
        <v>2360</v>
      </c>
      <c r="C265" s="504" t="s">
        <v>2361</v>
      </c>
      <c r="D265" s="509"/>
      <c r="E265" s="494">
        <v>0</v>
      </c>
      <c r="F265" s="494"/>
      <c r="G265" s="494">
        <v>64290.26</v>
      </c>
      <c r="H265" s="494">
        <v>0</v>
      </c>
      <c r="I265" s="506">
        <v>64290.26</v>
      </c>
      <c r="J265" s="507">
        <f t="shared" si="18"/>
        <v>64290.26</v>
      </c>
      <c r="L265" s="508">
        <f t="shared" si="20"/>
        <v>64290.26</v>
      </c>
    </row>
    <row r="266" spans="1:12">
      <c r="A266" s="492" t="str">
        <f t="shared" si="19"/>
        <v>558</v>
      </c>
      <c r="B266" s="504" t="s">
        <v>2362</v>
      </c>
      <c r="C266" s="504" t="s">
        <v>2363</v>
      </c>
      <c r="D266" s="509"/>
      <c r="E266" s="494">
        <v>0</v>
      </c>
      <c r="F266" s="494"/>
      <c r="G266" s="494">
        <v>0</v>
      </c>
      <c r="H266" s="494">
        <v>0</v>
      </c>
      <c r="I266" s="506">
        <v>0</v>
      </c>
      <c r="J266" s="507">
        <f t="shared" si="18"/>
        <v>0</v>
      </c>
      <c r="L266" s="508">
        <f t="shared" si="20"/>
        <v>0</v>
      </c>
    </row>
    <row r="267" spans="1:12">
      <c r="A267" s="492" t="str">
        <f t="shared" si="19"/>
        <v>558</v>
      </c>
      <c r="B267" s="504" t="s">
        <v>2364</v>
      </c>
      <c r="C267" s="504" t="s">
        <v>2365</v>
      </c>
      <c r="D267" s="509"/>
      <c r="E267" s="494">
        <v>0</v>
      </c>
      <c r="F267" s="494"/>
      <c r="G267" s="494">
        <v>-1353.89</v>
      </c>
      <c r="H267" s="494">
        <v>0</v>
      </c>
      <c r="I267" s="506">
        <v>-1353.89</v>
      </c>
      <c r="J267" s="507">
        <f t="shared" si="18"/>
        <v>-1353.89</v>
      </c>
      <c r="L267" s="508">
        <f t="shared" si="20"/>
        <v>-1353.89</v>
      </c>
    </row>
    <row r="268" spans="1:12">
      <c r="A268" s="492" t="str">
        <f t="shared" si="19"/>
        <v>558</v>
      </c>
      <c r="B268" s="504" t="s">
        <v>2366</v>
      </c>
      <c r="C268" s="504" t="s">
        <v>2367</v>
      </c>
      <c r="D268" s="509"/>
      <c r="E268" s="494">
        <v>0</v>
      </c>
      <c r="F268" s="494"/>
      <c r="G268" s="494">
        <v>1129.74</v>
      </c>
      <c r="H268" s="494">
        <v>0</v>
      </c>
      <c r="I268" s="506">
        <v>1129.74</v>
      </c>
      <c r="J268" s="507">
        <f t="shared" si="18"/>
        <v>1129.74</v>
      </c>
      <c r="L268" s="508">
        <f t="shared" si="20"/>
        <v>1129.74</v>
      </c>
    </row>
    <row r="269" spans="1:12">
      <c r="A269" s="492" t="str">
        <f t="shared" si="19"/>
        <v>591</v>
      </c>
      <c r="B269" s="504" t="s">
        <v>2368</v>
      </c>
      <c r="C269" s="504" t="s">
        <v>2369</v>
      </c>
      <c r="D269" s="509"/>
      <c r="E269" s="494">
        <v>0</v>
      </c>
      <c r="F269" s="494"/>
      <c r="G269" s="494">
        <v>0</v>
      </c>
      <c r="H269" s="494">
        <v>0</v>
      </c>
      <c r="I269" s="506">
        <v>0</v>
      </c>
      <c r="J269" s="507">
        <f t="shared" si="18"/>
        <v>0</v>
      </c>
      <c r="L269" s="508">
        <f t="shared" si="20"/>
        <v>0</v>
      </c>
    </row>
    <row r="270" spans="1:12">
      <c r="A270" s="492" t="str">
        <f t="shared" si="19"/>
        <v>602</v>
      </c>
      <c r="B270" s="504" t="s">
        <v>2370</v>
      </c>
      <c r="C270" s="504" t="s">
        <v>2371</v>
      </c>
      <c r="D270" s="509"/>
      <c r="E270" s="494">
        <v>0</v>
      </c>
      <c r="F270" s="494"/>
      <c r="G270" s="494">
        <v>0</v>
      </c>
      <c r="H270" s="494">
        <v>17882.759999999998</v>
      </c>
      <c r="I270" s="506">
        <v>17882.759999999998</v>
      </c>
      <c r="J270" s="507">
        <f t="shared" ref="J270:J333" si="21">-I270</f>
        <v>-17882.759999999998</v>
      </c>
      <c r="L270" s="508">
        <f t="shared" si="20"/>
        <v>-17882.759999999998</v>
      </c>
    </row>
    <row r="271" spans="1:12">
      <c r="A271" s="492" t="str">
        <f t="shared" si="19"/>
        <v>602</v>
      </c>
      <c r="B271" s="504" t="s">
        <v>2372</v>
      </c>
      <c r="C271" s="504" t="s">
        <v>2373</v>
      </c>
      <c r="D271" s="509"/>
      <c r="E271" s="494">
        <v>0</v>
      </c>
      <c r="F271" s="494"/>
      <c r="G271" s="494">
        <v>0</v>
      </c>
      <c r="H271" s="494">
        <v>0</v>
      </c>
      <c r="I271" s="506">
        <v>0</v>
      </c>
      <c r="J271" s="507">
        <f t="shared" si="21"/>
        <v>0</v>
      </c>
      <c r="L271" s="508">
        <f t="shared" si="20"/>
        <v>0</v>
      </c>
    </row>
    <row r="272" spans="1:12">
      <c r="A272" s="492" t="str">
        <f t="shared" si="19"/>
        <v>602</v>
      </c>
      <c r="B272" s="504" t="s">
        <v>2374</v>
      </c>
      <c r="C272" s="504" t="s">
        <v>2375</v>
      </c>
      <c r="D272" s="509"/>
      <c r="E272" s="494">
        <v>0</v>
      </c>
      <c r="F272" s="494"/>
      <c r="G272" s="494">
        <v>0</v>
      </c>
      <c r="H272" s="494">
        <v>3793.5</v>
      </c>
      <c r="I272" s="506">
        <v>3793.5</v>
      </c>
      <c r="J272" s="507">
        <f t="shared" si="21"/>
        <v>-3793.5</v>
      </c>
      <c r="L272" s="508">
        <f t="shared" si="20"/>
        <v>-3793.5</v>
      </c>
    </row>
    <row r="273" spans="1:12">
      <c r="A273" s="492" t="str">
        <f t="shared" si="19"/>
        <v>602</v>
      </c>
      <c r="B273" s="504" t="s">
        <v>2376</v>
      </c>
      <c r="C273" s="504" t="s">
        <v>2377</v>
      </c>
      <c r="D273" s="509"/>
      <c r="E273" s="494">
        <v>0</v>
      </c>
      <c r="F273" s="494"/>
      <c r="G273" s="494">
        <v>0</v>
      </c>
      <c r="H273" s="494">
        <v>9249.07</v>
      </c>
      <c r="I273" s="506">
        <v>9249.07</v>
      </c>
      <c r="J273" s="507">
        <f t="shared" si="21"/>
        <v>-9249.07</v>
      </c>
      <c r="L273" s="508">
        <f t="shared" si="20"/>
        <v>-9249.07</v>
      </c>
    </row>
    <row r="274" spans="1:12">
      <c r="A274" s="492" t="str">
        <f t="shared" si="19"/>
        <v>602</v>
      </c>
      <c r="B274" s="504" t="s">
        <v>2378</v>
      </c>
      <c r="C274" s="504" t="s">
        <v>2379</v>
      </c>
      <c r="D274" s="509"/>
      <c r="E274" s="494">
        <v>0</v>
      </c>
      <c r="F274" s="494"/>
      <c r="G274" s="494">
        <v>0</v>
      </c>
      <c r="H274" s="494">
        <v>19023.63</v>
      </c>
      <c r="I274" s="506">
        <v>19023.63</v>
      </c>
      <c r="J274" s="507">
        <f t="shared" si="21"/>
        <v>-19023.63</v>
      </c>
      <c r="L274" s="508">
        <f t="shared" si="20"/>
        <v>-19023.63</v>
      </c>
    </row>
    <row r="275" spans="1:12">
      <c r="A275" s="492" t="str">
        <f t="shared" si="19"/>
        <v>602</v>
      </c>
      <c r="B275" s="504" t="s">
        <v>2380</v>
      </c>
      <c r="C275" s="504" t="s">
        <v>2381</v>
      </c>
      <c r="D275" s="509"/>
      <c r="E275" s="494">
        <v>0</v>
      </c>
      <c r="F275" s="494"/>
      <c r="G275" s="494">
        <v>0</v>
      </c>
      <c r="H275" s="494">
        <v>5812.79</v>
      </c>
      <c r="I275" s="506">
        <v>5812.79</v>
      </c>
      <c r="J275" s="507">
        <f t="shared" si="21"/>
        <v>-5812.79</v>
      </c>
      <c r="L275" s="508">
        <f t="shared" si="20"/>
        <v>-5812.79</v>
      </c>
    </row>
    <row r="276" spans="1:12">
      <c r="A276" s="492" t="str">
        <f t="shared" si="19"/>
        <v>602</v>
      </c>
      <c r="B276" s="504" t="s">
        <v>2382</v>
      </c>
      <c r="C276" s="504" t="s">
        <v>2383</v>
      </c>
      <c r="D276" s="509"/>
      <c r="E276" s="494">
        <v>0</v>
      </c>
      <c r="F276" s="494"/>
      <c r="G276" s="494">
        <v>0</v>
      </c>
      <c r="H276" s="494">
        <v>10314.06</v>
      </c>
      <c r="I276" s="506">
        <v>10314.06</v>
      </c>
      <c r="J276" s="507">
        <f t="shared" si="21"/>
        <v>-10314.06</v>
      </c>
      <c r="L276" s="508">
        <f t="shared" si="20"/>
        <v>-10314.06</v>
      </c>
    </row>
    <row r="277" spans="1:12">
      <c r="A277" s="492" t="str">
        <f t="shared" si="19"/>
        <v>602</v>
      </c>
      <c r="B277" s="504" t="s">
        <v>2384</v>
      </c>
      <c r="C277" s="504" t="s">
        <v>2385</v>
      </c>
      <c r="D277" s="509"/>
      <c r="E277" s="494">
        <v>0</v>
      </c>
      <c r="F277" s="494"/>
      <c r="G277" s="494">
        <v>0</v>
      </c>
      <c r="H277" s="494">
        <v>1453.14</v>
      </c>
      <c r="I277" s="506">
        <v>1453.14</v>
      </c>
      <c r="J277" s="507">
        <f t="shared" si="21"/>
        <v>-1453.14</v>
      </c>
      <c r="L277" s="508">
        <f t="shared" si="20"/>
        <v>-1453.14</v>
      </c>
    </row>
    <row r="278" spans="1:12">
      <c r="A278" s="492" t="str">
        <f t="shared" si="19"/>
        <v>602</v>
      </c>
      <c r="B278" s="504" t="s">
        <v>2386</v>
      </c>
      <c r="C278" s="504" t="s">
        <v>2387</v>
      </c>
      <c r="D278" s="509"/>
      <c r="E278" s="494">
        <v>0</v>
      </c>
      <c r="F278" s="494"/>
      <c r="G278" s="494">
        <v>0</v>
      </c>
      <c r="H278" s="494">
        <v>2201.6999999999998</v>
      </c>
      <c r="I278" s="506">
        <v>2201.6999999999998</v>
      </c>
      <c r="J278" s="507">
        <f t="shared" si="21"/>
        <v>-2201.6999999999998</v>
      </c>
      <c r="L278" s="508">
        <f t="shared" si="20"/>
        <v>-2201.6999999999998</v>
      </c>
    </row>
    <row r="279" spans="1:12">
      <c r="A279" s="492" t="str">
        <f t="shared" si="19"/>
        <v>602</v>
      </c>
      <c r="B279" s="504" t="s">
        <v>2388</v>
      </c>
      <c r="C279" s="504" t="s">
        <v>2389</v>
      </c>
      <c r="D279" s="509"/>
      <c r="E279" s="494">
        <v>0</v>
      </c>
      <c r="F279" s="494"/>
      <c r="G279" s="494">
        <v>0</v>
      </c>
      <c r="H279" s="494">
        <v>1926.54</v>
      </c>
      <c r="I279" s="506">
        <v>1926.54</v>
      </c>
      <c r="J279" s="507">
        <f t="shared" si="21"/>
        <v>-1926.54</v>
      </c>
      <c r="L279" s="508">
        <f t="shared" si="20"/>
        <v>-1926.54</v>
      </c>
    </row>
    <row r="280" spans="1:12">
      <c r="A280" s="492" t="str">
        <f t="shared" si="19"/>
        <v>602</v>
      </c>
      <c r="B280" s="504" t="s">
        <v>2390</v>
      </c>
      <c r="C280" s="504" t="s">
        <v>2391</v>
      </c>
      <c r="D280" s="509"/>
      <c r="E280" s="494">
        <v>0</v>
      </c>
      <c r="F280" s="494"/>
      <c r="G280" s="494">
        <v>0</v>
      </c>
      <c r="H280" s="494">
        <v>400</v>
      </c>
      <c r="I280" s="506">
        <v>400</v>
      </c>
      <c r="J280" s="507">
        <f t="shared" si="21"/>
        <v>-400</v>
      </c>
      <c r="L280" s="508">
        <f t="shared" si="20"/>
        <v>-400</v>
      </c>
    </row>
    <row r="281" spans="1:12">
      <c r="A281" s="492" t="str">
        <f t="shared" si="19"/>
        <v>602</v>
      </c>
      <c r="B281" s="504" t="s">
        <v>2392</v>
      </c>
      <c r="C281" s="504" t="s">
        <v>2393</v>
      </c>
      <c r="D281" s="509"/>
      <c r="E281" s="494">
        <v>0</v>
      </c>
      <c r="F281" s="494"/>
      <c r="G281" s="494">
        <v>0</v>
      </c>
      <c r="H281" s="494">
        <v>0</v>
      </c>
      <c r="I281" s="506">
        <v>0</v>
      </c>
      <c r="J281" s="507">
        <f t="shared" si="21"/>
        <v>0</v>
      </c>
      <c r="L281" s="508">
        <f t="shared" si="20"/>
        <v>0</v>
      </c>
    </row>
    <row r="282" spans="1:12">
      <c r="A282" s="492" t="str">
        <f t="shared" si="19"/>
        <v>602</v>
      </c>
      <c r="B282" s="504" t="s">
        <v>2394</v>
      </c>
      <c r="C282" s="504" t="s">
        <v>2395</v>
      </c>
      <c r="D282" s="509"/>
      <c r="E282" s="494">
        <v>0</v>
      </c>
      <c r="F282" s="494"/>
      <c r="G282" s="494">
        <v>0</v>
      </c>
      <c r="H282" s="494">
        <v>1731359.07</v>
      </c>
      <c r="I282" s="506">
        <v>1731359.07</v>
      </c>
      <c r="J282" s="507">
        <f t="shared" si="21"/>
        <v>-1731359.07</v>
      </c>
      <c r="L282" s="508">
        <f t="shared" si="20"/>
        <v>-1731359.07</v>
      </c>
    </row>
    <row r="283" spans="1:12">
      <c r="A283" s="492" t="str">
        <f t="shared" si="19"/>
        <v>602</v>
      </c>
      <c r="B283" s="504" t="s">
        <v>2396</v>
      </c>
      <c r="C283" s="504" t="s">
        <v>2397</v>
      </c>
      <c r="D283" s="509"/>
      <c r="E283" s="494">
        <v>0</v>
      </c>
      <c r="F283" s="494"/>
      <c r="G283" s="494">
        <v>0</v>
      </c>
      <c r="H283" s="494">
        <v>29513</v>
      </c>
      <c r="I283" s="506">
        <v>29513</v>
      </c>
      <c r="J283" s="507">
        <f t="shared" si="21"/>
        <v>-29513</v>
      </c>
      <c r="L283" s="508">
        <f t="shared" si="20"/>
        <v>-29513</v>
      </c>
    </row>
    <row r="284" spans="1:12">
      <c r="A284" s="492" t="str">
        <f t="shared" si="19"/>
        <v>602</v>
      </c>
      <c r="B284" s="504" t="s">
        <v>2398</v>
      </c>
      <c r="C284" s="504" t="s">
        <v>2399</v>
      </c>
      <c r="D284" s="509"/>
      <c r="E284" s="494">
        <v>0</v>
      </c>
      <c r="F284" s="494"/>
      <c r="G284" s="494">
        <v>0</v>
      </c>
      <c r="H284" s="494">
        <v>39318.519999999997</v>
      </c>
      <c r="I284" s="506">
        <v>39318.519999999997</v>
      </c>
      <c r="J284" s="507">
        <f t="shared" si="21"/>
        <v>-39318.519999999997</v>
      </c>
      <c r="L284" s="508">
        <f t="shared" si="20"/>
        <v>-39318.519999999997</v>
      </c>
    </row>
    <row r="285" spans="1:12">
      <c r="A285" s="492" t="str">
        <f t="shared" si="19"/>
        <v>602</v>
      </c>
      <c r="B285" s="504" t="s">
        <v>2400</v>
      </c>
      <c r="C285" s="504" t="s">
        <v>2401</v>
      </c>
      <c r="D285" s="509"/>
      <c r="E285" s="494">
        <v>0</v>
      </c>
      <c r="F285" s="494"/>
      <c r="G285" s="494">
        <v>0</v>
      </c>
      <c r="H285" s="494">
        <v>37606.639999999999</v>
      </c>
      <c r="I285" s="506">
        <v>37606.639999999999</v>
      </c>
      <c r="J285" s="507">
        <f t="shared" si="21"/>
        <v>-37606.639999999999</v>
      </c>
      <c r="L285" s="508">
        <f t="shared" si="20"/>
        <v>-37606.639999999999</v>
      </c>
    </row>
    <row r="286" spans="1:12">
      <c r="A286" s="492" t="str">
        <f t="shared" si="19"/>
        <v>602</v>
      </c>
      <c r="B286" s="504" t="s">
        <v>2402</v>
      </c>
      <c r="C286" s="504" t="s">
        <v>2403</v>
      </c>
      <c r="D286" s="509"/>
      <c r="E286" s="494">
        <v>0</v>
      </c>
      <c r="F286" s="494"/>
      <c r="G286" s="494">
        <v>0</v>
      </c>
      <c r="H286" s="494">
        <v>272049.89</v>
      </c>
      <c r="I286" s="506">
        <v>272049.89</v>
      </c>
      <c r="J286" s="507">
        <f t="shared" si="21"/>
        <v>-272049.89</v>
      </c>
      <c r="L286" s="508">
        <f t="shared" si="20"/>
        <v>-272049.89</v>
      </c>
    </row>
    <row r="287" spans="1:12">
      <c r="A287" s="492" t="str">
        <f t="shared" si="19"/>
        <v>602</v>
      </c>
      <c r="B287" s="504" t="s">
        <v>2404</v>
      </c>
      <c r="C287" s="504" t="s">
        <v>2405</v>
      </c>
      <c r="D287" s="509"/>
      <c r="E287" s="494">
        <v>0</v>
      </c>
      <c r="F287" s="494"/>
      <c r="G287" s="494">
        <v>0</v>
      </c>
      <c r="H287" s="494">
        <v>380170.78</v>
      </c>
      <c r="I287" s="506">
        <v>380170.78</v>
      </c>
      <c r="J287" s="507">
        <f t="shared" si="21"/>
        <v>-380170.78</v>
      </c>
      <c r="L287" s="508">
        <f t="shared" si="20"/>
        <v>-380170.78</v>
      </c>
    </row>
    <row r="288" spans="1:12">
      <c r="A288" s="492" t="str">
        <f t="shared" si="19"/>
        <v>602</v>
      </c>
      <c r="B288" s="504" t="s">
        <v>2406</v>
      </c>
      <c r="C288" s="504" t="s">
        <v>2407</v>
      </c>
      <c r="D288" s="509"/>
      <c r="E288" s="494">
        <v>0</v>
      </c>
      <c r="F288" s="494"/>
      <c r="G288" s="494">
        <v>0</v>
      </c>
      <c r="H288" s="494">
        <v>49724</v>
      </c>
      <c r="I288" s="506">
        <v>49724</v>
      </c>
      <c r="J288" s="507">
        <f t="shared" si="21"/>
        <v>-49724</v>
      </c>
      <c r="L288" s="508">
        <f t="shared" si="20"/>
        <v>-49724</v>
      </c>
    </row>
    <row r="289" spans="1:12">
      <c r="A289" s="492" t="str">
        <f t="shared" si="19"/>
        <v>602</v>
      </c>
      <c r="B289" s="504" t="s">
        <v>2408</v>
      </c>
      <c r="C289" s="504" t="s">
        <v>2409</v>
      </c>
      <c r="D289" s="509"/>
      <c r="E289" s="494">
        <v>0</v>
      </c>
      <c r="F289" s="494"/>
      <c r="G289" s="494">
        <v>0</v>
      </c>
      <c r="H289" s="494">
        <v>5282.92</v>
      </c>
      <c r="I289" s="506">
        <v>5282.92</v>
      </c>
      <c r="J289" s="507">
        <f t="shared" si="21"/>
        <v>-5282.92</v>
      </c>
      <c r="L289" s="508">
        <f t="shared" si="20"/>
        <v>-5282.92</v>
      </c>
    </row>
    <row r="290" spans="1:12">
      <c r="A290" s="492" t="str">
        <f t="shared" si="19"/>
        <v>602</v>
      </c>
      <c r="B290" s="504" t="s">
        <v>2410</v>
      </c>
      <c r="C290" s="504" t="s">
        <v>2411</v>
      </c>
      <c r="D290" s="509"/>
      <c r="E290" s="494">
        <v>0</v>
      </c>
      <c r="F290" s="494"/>
      <c r="G290" s="494">
        <v>0</v>
      </c>
      <c r="H290" s="494">
        <v>67771.42</v>
      </c>
      <c r="I290" s="506">
        <v>67771.42</v>
      </c>
      <c r="J290" s="507">
        <f t="shared" si="21"/>
        <v>-67771.42</v>
      </c>
      <c r="L290" s="508">
        <f t="shared" si="20"/>
        <v>-67771.42</v>
      </c>
    </row>
    <row r="291" spans="1:12">
      <c r="A291" s="492" t="str">
        <f t="shared" si="19"/>
        <v>602</v>
      </c>
      <c r="B291" s="504" t="s">
        <v>2412</v>
      </c>
      <c r="C291" s="504" t="s">
        <v>2413</v>
      </c>
      <c r="D291" s="509"/>
      <c r="E291" s="494">
        <v>0</v>
      </c>
      <c r="F291" s="494"/>
      <c r="G291" s="494">
        <v>0</v>
      </c>
      <c r="H291" s="494">
        <v>112086.12</v>
      </c>
      <c r="I291" s="506">
        <v>112086.12</v>
      </c>
      <c r="J291" s="507">
        <f t="shared" si="21"/>
        <v>-112086.12</v>
      </c>
      <c r="L291" s="508">
        <f t="shared" si="20"/>
        <v>-112086.12</v>
      </c>
    </row>
    <row r="292" spans="1:12">
      <c r="A292" s="492" t="str">
        <f t="shared" si="19"/>
        <v>602</v>
      </c>
      <c r="B292" s="504" t="s">
        <v>2414</v>
      </c>
      <c r="C292" s="504" t="s">
        <v>2415</v>
      </c>
      <c r="D292" s="509"/>
      <c r="E292" s="494">
        <v>0</v>
      </c>
      <c r="F292" s="494"/>
      <c r="G292" s="494">
        <v>0</v>
      </c>
      <c r="H292" s="494">
        <v>0</v>
      </c>
      <c r="I292" s="506">
        <v>0</v>
      </c>
      <c r="J292" s="507">
        <f t="shared" si="21"/>
        <v>0</v>
      </c>
      <c r="L292" s="508">
        <f t="shared" si="20"/>
        <v>0</v>
      </c>
    </row>
    <row r="293" spans="1:12">
      <c r="A293" s="492" t="str">
        <f t="shared" si="19"/>
        <v>602</v>
      </c>
      <c r="B293" s="504" t="s">
        <v>2416</v>
      </c>
      <c r="C293" s="504" t="s">
        <v>2417</v>
      </c>
      <c r="D293" s="509"/>
      <c r="E293" s="494">
        <v>0</v>
      </c>
      <c r="F293" s="494"/>
      <c r="G293" s="494">
        <v>0</v>
      </c>
      <c r="H293" s="494">
        <v>430328.44</v>
      </c>
      <c r="I293" s="506">
        <v>430328.44</v>
      </c>
      <c r="J293" s="507">
        <f t="shared" si="21"/>
        <v>-430328.44</v>
      </c>
      <c r="L293" s="508">
        <f t="shared" si="20"/>
        <v>-430328.44</v>
      </c>
    </row>
    <row r="294" spans="1:12">
      <c r="A294" s="492" t="str">
        <f t="shared" si="19"/>
        <v>602</v>
      </c>
      <c r="B294" s="504" t="s">
        <v>2418</v>
      </c>
      <c r="C294" s="504" t="s">
        <v>2419</v>
      </c>
      <c r="D294" s="509"/>
      <c r="E294" s="494">
        <v>0</v>
      </c>
      <c r="F294" s="494"/>
      <c r="G294" s="494">
        <v>0</v>
      </c>
      <c r="H294" s="494">
        <v>1351.5</v>
      </c>
      <c r="I294" s="506">
        <v>1351.5</v>
      </c>
      <c r="J294" s="507">
        <f t="shared" si="21"/>
        <v>-1351.5</v>
      </c>
      <c r="L294" s="508">
        <f t="shared" si="20"/>
        <v>-1351.5</v>
      </c>
    </row>
    <row r="295" spans="1:12">
      <c r="A295" s="492" t="str">
        <f t="shared" si="19"/>
        <v>602</v>
      </c>
      <c r="B295" s="504" t="s">
        <v>2420</v>
      </c>
      <c r="C295" s="504" t="s">
        <v>2421</v>
      </c>
      <c r="D295" s="509"/>
      <c r="E295" s="494">
        <v>0</v>
      </c>
      <c r="F295" s="494"/>
      <c r="G295" s="494">
        <v>0</v>
      </c>
      <c r="H295" s="494">
        <v>0</v>
      </c>
      <c r="I295" s="506">
        <v>0</v>
      </c>
      <c r="J295" s="507">
        <f t="shared" si="21"/>
        <v>0</v>
      </c>
      <c r="L295" s="508">
        <f t="shared" si="20"/>
        <v>0</v>
      </c>
    </row>
    <row r="296" spans="1:12">
      <c r="A296" s="492" t="str">
        <f t="shared" si="19"/>
        <v>602</v>
      </c>
      <c r="B296" s="504" t="s">
        <v>2422</v>
      </c>
      <c r="C296" s="504" t="s">
        <v>2423</v>
      </c>
      <c r="D296" s="509"/>
      <c r="E296" s="494">
        <v>0</v>
      </c>
      <c r="F296" s="494"/>
      <c r="G296" s="494">
        <v>0</v>
      </c>
      <c r="H296" s="494">
        <v>899107.15</v>
      </c>
      <c r="I296" s="506">
        <v>899107.15</v>
      </c>
      <c r="J296" s="507">
        <f t="shared" si="21"/>
        <v>-899107.15</v>
      </c>
      <c r="L296" s="508">
        <f t="shared" si="20"/>
        <v>-899107.15</v>
      </c>
    </row>
    <row r="297" spans="1:12">
      <c r="A297" s="492" t="str">
        <f t="shared" si="19"/>
        <v>602</v>
      </c>
      <c r="B297" s="504" t="s">
        <v>2424</v>
      </c>
      <c r="C297" s="504" t="s">
        <v>2425</v>
      </c>
      <c r="D297" s="509"/>
      <c r="E297" s="494">
        <v>0</v>
      </c>
      <c r="F297" s="494"/>
      <c r="G297" s="494">
        <v>0</v>
      </c>
      <c r="H297" s="494">
        <v>89998</v>
      </c>
      <c r="I297" s="506">
        <v>89998</v>
      </c>
      <c r="J297" s="507">
        <f t="shared" si="21"/>
        <v>-89998</v>
      </c>
      <c r="L297" s="508">
        <f t="shared" si="20"/>
        <v>-89998</v>
      </c>
    </row>
    <row r="298" spans="1:12">
      <c r="A298" s="492" t="str">
        <f t="shared" si="19"/>
        <v>602</v>
      </c>
      <c r="B298" s="504" t="s">
        <v>2426</v>
      </c>
      <c r="C298" s="504" t="s">
        <v>2427</v>
      </c>
      <c r="D298" s="509"/>
      <c r="E298" s="494">
        <v>0</v>
      </c>
      <c r="F298" s="494"/>
      <c r="G298" s="494">
        <v>0</v>
      </c>
      <c r="H298" s="494">
        <v>17556</v>
      </c>
      <c r="I298" s="506">
        <v>17556</v>
      </c>
      <c r="J298" s="507">
        <f t="shared" si="21"/>
        <v>-17556</v>
      </c>
      <c r="L298" s="508">
        <f t="shared" si="20"/>
        <v>-17556</v>
      </c>
    </row>
    <row r="299" spans="1:12">
      <c r="A299" s="492" t="str">
        <f t="shared" si="19"/>
        <v>602</v>
      </c>
      <c r="B299" s="504" t="s">
        <v>2428</v>
      </c>
      <c r="C299" s="504" t="s">
        <v>2429</v>
      </c>
      <c r="D299" s="509"/>
      <c r="E299" s="494">
        <v>0</v>
      </c>
      <c r="F299" s="494"/>
      <c r="G299" s="494">
        <v>0</v>
      </c>
      <c r="H299" s="494">
        <v>17571.48</v>
      </c>
      <c r="I299" s="506">
        <v>17571.48</v>
      </c>
      <c r="J299" s="507">
        <f t="shared" si="21"/>
        <v>-17571.48</v>
      </c>
      <c r="L299" s="508">
        <f t="shared" si="20"/>
        <v>-17571.48</v>
      </c>
    </row>
    <row r="300" spans="1:12">
      <c r="A300" s="492" t="str">
        <f t="shared" si="19"/>
        <v>602</v>
      </c>
      <c r="B300" s="504" t="s">
        <v>2430</v>
      </c>
      <c r="C300" s="504" t="s">
        <v>2431</v>
      </c>
      <c r="D300" s="509"/>
      <c r="E300" s="494">
        <v>0</v>
      </c>
      <c r="F300" s="494"/>
      <c r="G300" s="494">
        <v>0</v>
      </c>
      <c r="H300" s="494">
        <v>149621.35999999999</v>
      </c>
      <c r="I300" s="506">
        <v>149621.35999999999</v>
      </c>
      <c r="J300" s="507">
        <f t="shared" si="21"/>
        <v>-149621.35999999999</v>
      </c>
      <c r="L300" s="508">
        <f t="shared" si="20"/>
        <v>-149621.35999999999</v>
      </c>
    </row>
    <row r="301" spans="1:12">
      <c r="A301" s="492" t="str">
        <f t="shared" si="19"/>
        <v>602</v>
      </c>
      <c r="B301" s="504" t="s">
        <v>2432</v>
      </c>
      <c r="C301" s="504" t="s">
        <v>2433</v>
      </c>
      <c r="D301" s="509"/>
      <c r="E301" s="494">
        <v>0</v>
      </c>
      <c r="F301" s="494"/>
      <c r="G301" s="494">
        <v>0</v>
      </c>
      <c r="H301" s="494">
        <v>185608.25</v>
      </c>
      <c r="I301" s="506">
        <v>185608.25</v>
      </c>
      <c r="J301" s="507">
        <f t="shared" si="21"/>
        <v>-185608.25</v>
      </c>
      <c r="L301" s="508">
        <f t="shared" si="20"/>
        <v>-185608.25</v>
      </c>
    </row>
    <row r="302" spans="1:12">
      <c r="A302" s="492" t="str">
        <f t="shared" si="19"/>
        <v>602</v>
      </c>
      <c r="B302" s="504" t="s">
        <v>2434</v>
      </c>
      <c r="C302" s="504" t="s">
        <v>2435</v>
      </c>
      <c r="D302" s="509"/>
      <c r="E302" s="494">
        <v>0</v>
      </c>
      <c r="F302" s="494"/>
      <c r="G302" s="494">
        <v>0</v>
      </c>
      <c r="H302" s="494">
        <v>0</v>
      </c>
      <c r="I302" s="506">
        <v>0</v>
      </c>
      <c r="J302" s="507">
        <f t="shared" si="21"/>
        <v>0</v>
      </c>
      <c r="L302" s="508">
        <f t="shared" si="20"/>
        <v>0</v>
      </c>
    </row>
    <row r="303" spans="1:12">
      <c r="A303" s="492" t="str">
        <f t="shared" si="19"/>
        <v>602</v>
      </c>
      <c r="B303" s="504" t="s">
        <v>2436</v>
      </c>
      <c r="C303" s="504" t="s">
        <v>2437</v>
      </c>
      <c r="D303" s="509"/>
      <c r="E303" s="494">
        <v>0</v>
      </c>
      <c r="F303" s="494"/>
      <c r="G303" s="494">
        <v>0</v>
      </c>
      <c r="H303" s="494">
        <v>3188.18</v>
      </c>
      <c r="I303" s="506">
        <v>3188.18</v>
      </c>
      <c r="J303" s="507">
        <f t="shared" si="21"/>
        <v>-3188.18</v>
      </c>
      <c r="L303" s="508">
        <f t="shared" si="20"/>
        <v>-3188.18</v>
      </c>
    </row>
    <row r="304" spans="1:12">
      <c r="A304" s="492" t="str">
        <f t="shared" si="19"/>
        <v>602</v>
      </c>
      <c r="B304" s="504" t="s">
        <v>2438</v>
      </c>
      <c r="C304" s="504" t="s">
        <v>2439</v>
      </c>
      <c r="D304" s="509"/>
      <c r="E304" s="494">
        <v>0</v>
      </c>
      <c r="F304" s="494"/>
      <c r="G304" s="494">
        <v>0</v>
      </c>
      <c r="H304" s="494">
        <v>88909.99</v>
      </c>
      <c r="I304" s="506">
        <v>88909.99</v>
      </c>
      <c r="J304" s="507">
        <f t="shared" si="21"/>
        <v>-88909.99</v>
      </c>
      <c r="L304" s="508">
        <f t="shared" si="20"/>
        <v>-88909.99</v>
      </c>
    </row>
    <row r="305" spans="1:12">
      <c r="A305" s="492" t="str">
        <f t="shared" si="19"/>
        <v>602</v>
      </c>
      <c r="B305" s="504" t="s">
        <v>2440</v>
      </c>
      <c r="C305" s="504" t="s">
        <v>2441</v>
      </c>
      <c r="D305" s="509"/>
      <c r="E305" s="494">
        <v>0</v>
      </c>
      <c r="F305" s="494"/>
      <c r="G305" s="494">
        <v>0</v>
      </c>
      <c r="H305" s="494">
        <v>48533.3</v>
      </c>
      <c r="I305" s="506">
        <v>48533.3</v>
      </c>
      <c r="J305" s="507">
        <f t="shared" si="21"/>
        <v>-48533.3</v>
      </c>
      <c r="L305" s="508">
        <f t="shared" si="20"/>
        <v>-48533.3</v>
      </c>
    </row>
    <row r="306" spans="1:12">
      <c r="A306" s="492" t="str">
        <f t="shared" si="19"/>
        <v>602</v>
      </c>
      <c r="B306" s="504" t="s">
        <v>2442</v>
      </c>
      <c r="C306" s="504" t="s">
        <v>2443</v>
      </c>
      <c r="D306" s="509"/>
      <c r="E306" s="494">
        <v>0</v>
      </c>
      <c r="F306" s="494"/>
      <c r="G306" s="494">
        <v>0</v>
      </c>
      <c r="H306" s="494">
        <v>105751.38</v>
      </c>
      <c r="I306" s="506">
        <v>105751.38</v>
      </c>
      <c r="J306" s="507">
        <f t="shared" si="21"/>
        <v>-105751.38</v>
      </c>
      <c r="L306" s="508">
        <f t="shared" si="20"/>
        <v>-105751.38</v>
      </c>
    </row>
    <row r="307" spans="1:12">
      <c r="A307" s="492" t="str">
        <f t="shared" si="19"/>
        <v>602</v>
      </c>
      <c r="B307" s="504" t="s">
        <v>2444</v>
      </c>
      <c r="C307" s="504" t="s">
        <v>2445</v>
      </c>
      <c r="D307" s="509"/>
      <c r="E307" s="494">
        <v>0</v>
      </c>
      <c r="F307" s="494"/>
      <c r="G307" s="494">
        <v>0</v>
      </c>
      <c r="H307" s="494">
        <v>10.96</v>
      </c>
      <c r="I307" s="506">
        <v>10.96</v>
      </c>
      <c r="J307" s="507">
        <f t="shared" si="21"/>
        <v>-10.96</v>
      </c>
      <c r="L307" s="508">
        <f t="shared" si="20"/>
        <v>-10.96</v>
      </c>
    </row>
    <row r="308" spans="1:12">
      <c r="A308" s="492" t="str">
        <f t="shared" si="19"/>
        <v>602</v>
      </c>
      <c r="B308" s="504" t="s">
        <v>2446</v>
      </c>
      <c r="C308" s="504" t="s">
        <v>2447</v>
      </c>
      <c r="D308" s="509"/>
      <c r="E308" s="494">
        <v>0</v>
      </c>
      <c r="F308" s="494"/>
      <c r="G308" s="494">
        <v>0</v>
      </c>
      <c r="H308" s="494">
        <v>1510.18</v>
      </c>
      <c r="I308" s="506">
        <v>1510.18</v>
      </c>
      <c r="J308" s="507">
        <f t="shared" si="21"/>
        <v>-1510.18</v>
      </c>
      <c r="L308" s="508">
        <f t="shared" si="20"/>
        <v>-1510.18</v>
      </c>
    </row>
    <row r="309" spans="1:12">
      <c r="A309" s="492" t="str">
        <f t="shared" si="19"/>
        <v>602</v>
      </c>
      <c r="B309" s="504" t="s">
        <v>2448</v>
      </c>
      <c r="C309" s="504" t="s">
        <v>2449</v>
      </c>
      <c r="D309" s="509"/>
      <c r="E309" s="494">
        <v>0</v>
      </c>
      <c r="F309" s="494"/>
      <c r="G309" s="494">
        <v>0</v>
      </c>
      <c r="H309" s="494">
        <v>1611.63</v>
      </c>
      <c r="I309" s="506">
        <v>1611.63</v>
      </c>
      <c r="J309" s="507">
        <f t="shared" si="21"/>
        <v>-1611.63</v>
      </c>
      <c r="L309" s="508">
        <f t="shared" si="20"/>
        <v>-1611.63</v>
      </c>
    </row>
    <row r="310" spans="1:12">
      <c r="A310" s="492" t="str">
        <f t="shared" si="19"/>
        <v>602</v>
      </c>
      <c r="B310" s="504" t="s">
        <v>2450</v>
      </c>
      <c r="C310" s="504" t="s">
        <v>2451</v>
      </c>
      <c r="D310" s="509"/>
      <c r="E310" s="494">
        <v>0</v>
      </c>
      <c r="F310" s="494"/>
      <c r="G310" s="494">
        <v>0</v>
      </c>
      <c r="H310" s="494">
        <v>273399.71999999997</v>
      </c>
      <c r="I310" s="506">
        <v>273399.71999999997</v>
      </c>
      <c r="J310" s="507">
        <f t="shared" si="21"/>
        <v>-273399.71999999997</v>
      </c>
      <c r="L310" s="508">
        <f t="shared" si="20"/>
        <v>-273399.71999999997</v>
      </c>
    </row>
    <row r="311" spans="1:12">
      <c r="A311" s="492" t="str">
        <f t="shared" si="19"/>
        <v>602</v>
      </c>
      <c r="B311" s="504" t="s">
        <v>2452</v>
      </c>
      <c r="C311" s="504" t="s">
        <v>2453</v>
      </c>
      <c r="D311" s="509"/>
      <c r="E311" s="494">
        <v>0</v>
      </c>
      <c r="F311" s="494"/>
      <c r="G311" s="494">
        <v>0</v>
      </c>
      <c r="H311" s="494">
        <v>29262</v>
      </c>
      <c r="I311" s="506">
        <v>29262</v>
      </c>
      <c r="J311" s="507">
        <f t="shared" si="21"/>
        <v>-29262</v>
      </c>
      <c r="L311" s="508">
        <f t="shared" si="20"/>
        <v>-29262</v>
      </c>
    </row>
    <row r="312" spans="1:12">
      <c r="A312" s="492" t="str">
        <f t="shared" si="19"/>
        <v>602</v>
      </c>
      <c r="B312" s="504" t="s">
        <v>2454</v>
      </c>
      <c r="C312" s="504" t="s">
        <v>2455</v>
      </c>
      <c r="D312" s="509"/>
      <c r="E312" s="494">
        <v>0</v>
      </c>
      <c r="F312" s="494"/>
      <c r="G312" s="494">
        <v>0</v>
      </c>
      <c r="H312" s="494">
        <v>5305.2</v>
      </c>
      <c r="I312" s="506">
        <v>5305.2</v>
      </c>
      <c r="J312" s="507">
        <f t="shared" si="21"/>
        <v>-5305.2</v>
      </c>
      <c r="L312" s="508">
        <f t="shared" si="20"/>
        <v>-5305.2</v>
      </c>
    </row>
    <row r="313" spans="1:12">
      <c r="A313" s="492" t="str">
        <f t="shared" si="19"/>
        <v>602</v>
      </c>
      <c r="B313" s="504" t="s">
        <v>2456</v>
      </c>
      <c r="C313" s="504" t="s">
        <v>2457</v>
      </c>
      <c r="D313" s="509"/>
      <c r="E313" s="494">
        <v>0</v>
      </c>
      <c r="F313" s="494"/>
      <c r="G313" s="494">
        <v>0</v>
      </c>
      <c r="H313" s="494">
        <v>2549.7399999999998</v>
      </c>
      <c r="I313" s="506">
        <v>2549.7399999999998</v>
      </c>
      <c r="J313" s="507">
        <f t="shared" si="21"/>
        <v>-2549.7399999999998</v>
      </c>
      <c r="L313" s="508">
        <f t="shared" si="20"/>
        <v>-2549.7399999999998</v>
      </c>
    </row>
    <row r="314" spans="1:12">
      <c r="A314" s="492" t="str">
        <f t="shared" si="19"/>
        <v>602</v>
      </c>
      <c r="B314" s="504" t="s">
        <v>2458</v>
      </c>
      <c r="C314" s="504" t="s">
        <v>2459</v>
      </c>
      <c r="D314" s="509"/>
      <c r="E314" s="494">
        <v>0</v>
      </c>
      <c r="F314" s="494"/>
      <c r="G314" s="494">
        <v>0</v>
      </c>
      <c r="H314" s="494">
        <v>45961.45</v>
      </c>
      <c r="I314" s="506">
        <v>45961.45</v>
      </c>
      <c r="J314" s="507">
        <f t="shared" si="21"/>
        <v>-45961.45</v>
      </c>
      <c r="L314" s="508">
        <f t="shared" si="20"/>
        <v>-45961.45</v>
      </c>
    </row>
    <row r="315" spans="1:12">
      <c r="A315" s="492" t="str">
        <f t="shared" si="19"/>
        <v>602</v>
      </c>
      <c r="B315" s="504" t="s">
        <v>2460</v>
      </c>
      <c r="C315" s="504" t="s">
        <v>2461</v>
      </c>
      <c r="D315" s="509"/>
      <c r="E315" s="494">
        <v>0</v>
      </c>
      <c r="F315" s="494"/>
      <c r="G315" s="494">
        <v>0</v>
      </c>
      <c r="H315" s="494">
        <v>55453.93</v>
      </c>
      <c r="I315" s="506">
        <v>55453.93</v>
      </c>
      <c r="J315" s="507">
        <f t="shared" si="21"/>
        <v>-55453.93</v>
      </c>
      <c r="L315" s="508">
        <f t="shared" si="20"/>
        <v>-55453.93</v>
      </c>
    </row>
    <row r="316" spans="1:12">
      <c r="A316" s="492" t="str">
        <f t="shared" si="19"/>
        <v>602</v>
      </c>
      <c r="B316" s="504" t="s">
        <v>2462</v>
      </c>
      <c r="C316" s="504" t="s">
        <v>2463</v>
      </c>
      <c r="D316" s="509"/>
      <c r="E316" s="494">
        <v>0</v>
      </c>
      <c r="F316" s="494"/>
      <c r="G316" s="494">
        <v>0</v>
      </c>
      <c r="H316" s="494">
        <v>200</v>
      </c>
      <c r="I316" s="506">
        <v>200</v>
      </c>
      <c r="J316" s="507">
        <f t="shared" si="21"/>
        <v>-200</v>
      </c>
      <c r="L316" s="508">
        <f t="shared" si="20"/>
        <v>-200</v>
      </c>
    </row>
    <row r="317" spans="1:12">
      <c r="A317" s="492" t="str">
        <f t="shared" si="19"/>
        <v>602</v>
      </c>
      <c r="B317" s="504" t="s">
        <v>2464</v>
      </c>
      <c r="C317" s="504" t="s">
        <v>2465</v>
      </c>
      <c r="D317" s="509"/>
      <c r="E317" s="494">
        <v>0</v>
      </c>
      <c r="F317" s="494"/>
      <c r="G317" s="494">
        <v>0</v>
      </c>
      <c r="H317" s="494">
        <v>1121.5999999999999</v>
      </c>
      <c r="I317" s="506">
        <v>1121.5999999999999</v>
      </c>
      <c r="J317" s="507">
        <f t="shared" si="21"/>
        <v>-1121.5999999999999</v>
      </c>
      <c r="L317" s="508">
        <f t="shared" si="20"/>
        <v>-1121.5999999999999</v>
      </c>
    </row>
    <row r="318" spans="1:12">
      <c r="A318" s="492" t="str">
        <f t="shared" si="19"/>
        <v>602</v>
      </c>
      <c r="B318" s="504" t="s">
        <v>2466</v>
      </c>
      <c r="C318" s="504" t="s">
        <v>2467</v>
      </c>
      <c r="D318" s="509"/>
      <c r="E318" s="494">
        <v>0</v>
      </c>
      <c r="F318" s="494"/>
      <c r="G318" s="494">
        <v>0</v>
      </c>
      <c r="H318" s="494">
        <v>4229.18</v>
      </c>
      <c r="I318" s="506">
        <v>4229.18</v>
      </c>
      <c r="J318" s="507">
        <f t="shared" si="21"/>
        <v>-4229.18</v>
      </c>
      <c r="L318" s="508">
        <f t="shared" si="20"/>
        <v>-4229.18</v>
      </c>
    </row>
    <row r="319" spans="1:12">
      <c r="A319" s="492" t="str">
        <f t="shared" si="19"/>
        <v>602</v>
      </c>
      <c r="B319" s="504" t="s">
        <v>2468</v>
      </c>
      <c r="C319" s="504" t="s">
        <v>2469</v>
      </c>
      <c r="D319" s="509"/>
      <c r="E319" s="494">
        <v>0</v>
      </c>
      <c r="F319" s="494"/>
      <c r="G319" s="494">
        <v>0</v>
      </c>
      <c r="H319" s="494">
        <v>3535.7</v>
      </c>
      <c r="I319" s="506">
        <v>3535.7</v>
      </c>
      <c r="J319" s="507">
        <f t="shared" si="21"/>
        <v>-3535.7</v>
      </c>
      <c r="L319" s="508">
        <f t="shared" si="20"/>
        <v>-3535.7</v>
      </c>
    </row>
    <row r="320" spans="1:12">
      <c r="A320" s="492" t="str">
        <f t="shared" si="19"/>
        <v>602</v>
      </c>
      <c r="B320" s="504" t="s">
        <v>2470</v>
      </c>
      <c r="C320" s="504" t="s">
        <v>2471</v>
      </c>
      <c r="D320" s="509"/>
      <c r="E320" s="494">
        <v>0</v>
      </c>
      <c r="F320" s="494"/>
      <c r="G320" s="494">
        <v>0</v>
      </c>
      <c r="H320" s="494">
        <v>1405.5</v>
      </c>
      <c r="I320" s="506">
        <v>1405.5</v>
      </c>
      <c r="J320" s="507">
        <f t="shared" si="21"/>
        <v>-1405.5</v>
      </c>
      <c r="L320" s="508">
        <f t="shared" si="20"/>
        <v>-1405.5</v>
      </c>
    </row>
    <row r="321" spans="1:12">
      <c r="A321" s="492" t="str">
        <f t="shared" si="19"/>
        <v>602</v>
      </c>
      <c r="B321" s="504" t="s">
        <v>2472</v>
      </c>
      <c r="C321" s="504" t="s">
        <v>2473</v>
      </c>
      <c r="D321" s="509"/>
      <c r="E321" s="494">
        <v>0</v>
      </c>
      <c r="F321" s="494"/>
      <c r="G321" s="494">
        <v>0</v>
      </c>
      <c r="H321" s="494">
        <v>29862.66</v>
      </c>
      <c r="I321" s="506">
        <v>29862.66</v>
      </c>
      <c r="J321" s="507">
        <f t="shared" si="21"/>
        <v>-29862.66</v>
      </c>
      <c r="L321" s="508">
        <f t="shared" si="20"/>
        <v>-29862.66</v>
      </c>
    </row>
    <row r="322" spans="1:12">
      <c r="A322" s="492" t="str">
        <f t="shared" si="19"/>
        <v>602</v>
      </c>
      <c r="B322" s="504" t="s">
        <v>2474</v>
      </c>
      <c r="C322" s="504" t="s">
        <v>2475</v>
      </c>
      <c r="D322" s="509"/>
      <c r="E322" s="494">
        <v>0</v>
      </c>
      <c r="F322" s="494"/>
      <c r="G322" s="494">
        <v>0</v>
      </c>
      <c r="H322" s="494">
        <v>462.53</v>
      </c>
      <c r="I322" s="506">
        <v>462.53</v>
      </c>
      <c r="J322" s="507">
        <f t="shared" si="21"/>
        <v>-462.53</v>
      </c>
      <c r="L322" s="508">
        <f t="shared" si="20"/>
        <v>-462.53</v>
      </c>
    </row>
    <row r="323" spans="1:12">
      <c r="A323" s="492" t="str">
        <f t="shared" si="19"/>
        <v>602</v>
      </c>
      <c r="B323" s="504" t="s">
        <v>2476</v>
      </c>
      <c r="C323" s="504" t="s">
        <v>2477</v>
      </c>
      <c r="D323" s="509"/>
      <c r="E323" s="494">
        <v>0</v>
      </c>
      <c r="F323" s="494"/>
      <c r="G323" s="494">
        <v>0</v>
      </c>
      <c r="H323" s="494">
        <v>-2530.1999999999998</v>
      </c>
      <c r="I323" s="506">
        <v>-2530.1999999999998</v>
      </c>
      <c r="J323" s="507">
        <f t="shared" si="21"/>
        <v>2530.1999999999998</v>
      </c>
      <c r="L323" s="508">
        <f t="shared" si="20"/>
        <v>2530.1999999999998</v>
      </c>
    </row>
    <row r="324" spans="1:12">
      <c r="A324" s="492" t="str">
        <f t="shared" si="19"/>
        <v>602</v>
      </c>
      <c r="B324" s="504" t="s">
        <v>2478</v>
      </c>
      <c r="C324" s="504" t="s">
        <v>2479</v>
      </c>
      <c r="D324" s="509"/>
      <c r="E324" s="494">
        <v>0</v>
      </c>
      <c r="F324" s="494"/>
      <c r="G324" s="494">
        <v>0</v>
      </c>
      <c r="H324" s="494">
        <v>3925.12</v>
      </c>
      <c r="I324" s="506">
        <v>3925.12</v>
      </c>
      <c r="J324" s="507">
        <f t="shared" si="21"/>
        <v>-3925.12</v>
      </c>
      <c r="L324" s="508">
        <f t="shared" si="20"/>
        <v>-3925.12</v>
      </c>
    </row>
    <row r="325" spans="1:12">
      <c r="A325" s="492" t="str">
        <f t="shared" si="19"/>
        <v>602</v>
      </c>
      <c r="B325" s="504" t="s">
        <v>2480</v>
      </c>
      <c r="C325" s="504" t="s">
        <v>2481</v>
      </c>
      <c r="D325" s="509"/>
      <c r="E325" s="494">
        <v>0</v>
      </c>
      <c r="F325" s="494"/>
      <c r="G325" s="494">
        <v>0</v>
      </c>
      <c r="H325" s="494">
        <v>1902.68</v>
      </c>
      <c r="I325" s="506">
        <v>1902.68</v>
      </c>
      <c r="J325" s="507">
        <f t="shared" si="21"/>
        <v>-1902.68</v>
      </c>
      <c r="L325" s="508">
        <f t="shared" si="20"/>
        <v>-1902.68</v>
      </c>
    </row>
    <row r="326" spans="1:12">
      <c r="A326" s="492" t="str">
        <f t="shared" ref="A326:A354" si="22">LEFT(B326,3)</f>
        <v>602</v>
      </c>
      <c r="B326" s="504" t="s">
        <v>2482</v>
      </c>
      <c r="C326" s="504" t="s">
        <v>2483</v>
      </c>
      <c r="D326" s="509"/>
      <c r="E326" s="494">
        <v>0</v>
      </c>
      <c r="F326" s="494"/>
      <c r="G326" s="494">
        <v>0</v>
      </c>
      <c r="H326" s="494">
        <v>348.21</v>
      </c>
      <c r="I326" s="506">
        <v>348.21</v>
      </c>
      <c r="J326" s="507">
        <f t="shared" si="21"/>
        <v>-348.21</v>
      </c>
      <c r="L326" s="508">
        <f t="shared" ref="L326:L354" si="23">+J326+K326</f>
        <v>-348.21</v>
      </c>
    </row>
    <row r="327" spans="1:12">
      <c r="A327" s="492" t="str">
        <f t="shared" si="22"/>
        <v>602</v>
      </c>
      <c r="B327" s="504" t="s">
        <v>2484</v>
      </c>
      <c r="C327" s="504" t="s">
        <v>2485</v>
      </c>
      <c r="D327" s="509"/>
      <c r="E327" s="494">
        <v>0</v>
      </c>
      <c r="F327" s="494"/>
      <c r="G327" s="494">
        <v>0</v>
      </c>
      <c r="H327" s="494">
        <v>229553.76</v>
      </c>
      <c r="I327" s="506">
        <v>229553.76</v>
      </c>
      <c r="J327" s="507">
        <f t="shared" si="21"/>
        <v>-229553.76</v>
      </c>
      <c r="L327" s="508">
        <f t="shared" si="23"/>
        <v>-229553.76</v>
      </c>
    </row>
    <row r="328" spans="1:12">
      <c r="A328" s="492" t="str">
        <f t="shared" si="22"/>
        <v>602</v>
      </c>
      <c r="B328" s="504" t="s">
        <v>2486</v>
      </c>
      <c r="C328" s="504" t="s">
        <v>2487</v>
      </c>
      <c r="D328" s="509"/>
      <c r="E328" s="494">
        <v>0</v>
      </c>
      <c r="F328" s="494"/>
      <c r="G328" s="494">
        <v>0</v>
      </c>
      <c r="H328" s="494">
        <v>22480.18</v>
      </c>
      <c r="I328" s="506">
        <v>22480.18</v>
      </c>
      <c r="J328" s="507">
        <f t="shared" si="21"/>
        <v>-22480.18</v>
      </c>
      <c r="L328" s="508">
        <f t="shared" si="23"/>
        <v>-22480.18</v>
      </c>
    </row>
    <row r="329" spans="1:12">
      <c r="A329" s="492" t="str">
        <f t="shared" si="22"/>
        <v>602</v>
      </c>
      <c r="B329" s="504" t="s">
        <v>2488</v>
      </c>
      <c r="C329" s="504" t="s">
        <v>2489</v>
      </c>
      <c r="D329" s="509"/>
      <c r="E329" s="494">
        <v>0</v>
      </c>
      <c r="F329" s="494"/>
      <c r="G329" s="494">
        <v>0</v>
      </c>
      <c r="H329" s="494">
        <v>663</v>
      </c>
      <c r="I329" s="506">
        <v>663</v>
      </c>
      <c r="J329" s="507">
        <f t="shared" si="21"/>
        <v>-663</v>
      </c>
      <c r="L329" s="508">
        <f t="shared" si="23"/>
        <v>-663</v>
      </c>
    </row>
    <row r="330" spans="1:12">
      <c r="A330" s="492" t="str">
        <f t="shared" si="22"/>
        <v>602</v>
      </c>
      <c r="B330" s="504" t="s">
        <v>2490</v>
      </c>
      <c r="C330" s="504" t="s">
        <v>2491</v>
      </c>
      <c r="D330" s="509"/>
      <c r="E330" s="494">
        <v>0</v>
      </c>
      <c r="F330" s="494"/>
      <c r="G330" s="494">
        <v>0</v>
      </c>
      <c r="H330" s="494">
        <v>636.74</v>
      </c>
      <c r="I330" s="506">
        <v>636.74</v>
      </c>
      <c r="J330" s="507">
        <f t="shared" si="21"/>
        <v>-636.74</v>
      </c>
      <c r="L330" s="508">
        <f t="shared" si="23"/>
        <v>-636.74</v>
      </c>
    </row>
    <row r="331" spans="1:12">
      <c r="A331" s="492" t="str">
        <f t="shared" si="22"/>
        <v>602</v>
      </c>
      <c r="B331" s="504" t="s">
        <v>2492</v>
      </c>
      <c r="C331" s="504" t="s">
        <v>2493</v>
      </c>
      <c r="D331" s="509"/>
      <c r="E331" s="494">
        <v>0</v>
      </c>
      <c r="F331" s="494"/>
      <c r="G331" s="494">
        <v>0</v>
      </c>
      <c r="H331" s="494">
        <v>9912.5499999999993</v>
      </c>
      <c r="I331" s="506">
        <v>9912.5499999999993</v>
      </c>
      <c r="J331" s="507">
        <f t="shared" si="21"/>
        <v>-9912.5499999999993</v>
      </c>
      <c r="L331" s="508">
        <f t="shared" si="23"/>
        <v>-9912.5499999999993</v>
      </c>
    </row>
    <row r="332" spans="1:12">
      <c r="A332" s="492" t="str">
        <f t="shared" si="22"/>
        <v>602</v>
      </c>
      <c r="B332" s="504" t="s">
        <v>2494</v>
      </c>
      <c r="C332" s="504" t="s">
        <v>2495</v>
      </c>
      <c r="D332" s="509"/>
      <c r="E332" s="494">
        <v>0</v>
      </c>
      <c r="F332" s="494"/>
      <c r="G332" s="494">
        <v>0</v>
      </c>
      <c r="H332" s="494">
        <v>12918.71</v>
      </c>
      <c r="I332" s="506">
        <v>12918.71</v>
      </c>
      <c r="J332" s="507">
        <f t="shared" si="21"/>
        <v>-12918.71</v>
      </c>
      <c r="L332" s="508">
        <f t="shared" si="23"/>
        <v>-12918.71</v>
      </c>
    </row>
    <row r="333" spans="1:12">
      <c r="A333" s="492" t="str">
        <f t="shared" si="22"/>
        <v>602</v>
      </c>
      <c r="B333" s="504" t="s">
        <v>2496</v>
      </c>
      <c r="C333" s="504" t="s">
        <v>2497</v>
      </c>
      <c r="D333" s="509"/>
      <c r="E333" s="494">
        <v>0</v>
      </c>
      <c r="F333" s="494"/>
      <c r="G333" s="494">
        <v>0</v>
      </c>
      <c r="H333" s="494">
        <v>47159.49</v>
      </c>
      <c r="I333" s="506">
        <v>47159.49</v>
      </c>
      <c r="J333" s="507">
        <f t="shared" si="21"/>
        <v>-47159.49</v>
      </c>
      <c r="L333" s="508">
        <f t="shared" si="23"/>
        <v>-47159.49</v>
      </c>
    </row>
    <row r="334" spans="1:12">
      <c r="A334" s="492" t="str">
        <f t="shared" si="22"/>
        <v>602</v>
      </c>
      <c r="B334" s="504" t="s">
        <v>2498</v>
      </c>
      <c r="C334" s="504" t="s">
        <v>2499</v>
      </c>
      <c r="D334" s="509"/>
      <c r="E334" s="494">
        <v>0</v>
      </c>
      <c r="F334" s="494"/>
      <c r="G334" s="494">
        <v>0</v>
      </c>
      <c r="H334" s="494">
        <v>398.72</v>
      </c>
      <c r="I334" s="506">
        <v>398.72</v>
      </c>
      <c r="J334" s="507">
        <f t="shared" ref="J334:J354" si="24">-I334</f>
        <v>-398.72</v>
      </c>
      <c r="L334" s="508">
        <f t="shared" si="23"/>
        <v>-398.72</v>
      </c>
    </row>
    <row r="335" spans="1:12">
      <c r="A335" s="492" t="str">
        <f t="shared" si="22"/>
        <v>602</v>
      </c>
      <c r="B335" s="504" t="s">
        <v>2500</v>
      </c>
      <c r="C335" s="504" t="s">
        <v>2501</v>
      </c>
      <c r="D335" s="509"/>
      <c r="E335" s="494">
        <v>0</v>
      </c>
      <c r="F335" s="494"/>
      <c r="G335" s="494">
        <v>0</v>
      </c>
      <c r="H335" s="494">
        <v>7152.54</v>
      </c>
      <c r="I335" s="506">
        <v>7152.54</v>
      </c>
      <c r="J335" s="507">
        <f t="shared" si="24"/>
        <v>-7152.54</v>
      </c>
      <c r="L335" s="508">
        <f t="shared" si="23"/>
        <v>-7152.54</v>
      </c>
    </row>
    <row r="336" spans="1:12">
      <c r="A336" s="492" t="str">
        <f t="shared" si="22"/>
        <v>621</v>
      </c>
      <c r="B336" s="504" t="s">
        <v>2502</v>
      </c>
      <c r="C336" s="504" t="s">
        <v>2503</v>
      </c>
      <c r="D336" s="509"/>
      <c r="E336" s="494">
        <v>0</v>
      </c>
      <c r="F336" s="494"/>
      <c r="G336" s="494">
        <v>0</v>
      </c>
      <c r="H336" s="494">
        <v>162173.09</v>
      </c>
      <c r="I336" s="506">
        <v>162173.09</v>
      </c>
      <c r="J336" s="507">
        <f t="shared" si="24"/>
        <v>-162173.09</v>
      </c>
      <c r="L336" s="508">
        <f t="shared" si="23"/>
        <v>-162173.09</v>
      </c>
    </row>
    <row r="337" spans="1:12">
      <c r="A337" s="492" t="str">
        <f t="shared" si="22"/>
        <v>644</v>
      </c>
      <c r="B337" s="504" t="s">
        <v>2504</v>
      </c>
      <c r="C337" s="504" t="s">
        <v>2505</v>
      </c>
      <c r="D337" s="509"/>
      <c r="E337" s="494">
        <v>0</v>
      </c>
      <c r="F337" s="494"/>
      <c r="G337" s="494">
        <v>0</v>
      </c>
      <c r="H337" s="494">
        <v>33.619999999999997</v>
      </c>
      <c r="I337" s="506">
        <v>33.619999999999997</v>
      </c>
      <c r="J337" s="507">
        <f t="shared" si="24"/>
        <v>-33.619999999999997</v>
      </c>
      <c r="L337" s="508">
        <f t="shared" si="23"/>
        <v>-33.619999999999997</v>
      </c>
    </row>
    <row r="338" spans="1:12">
      <c r="A338" s="492" t="str">
        <f t="shared" si="22"/>
        <v>645</v>
      </c>
      <c r="B338" s="504" t="s">
        <v>2506</v>
      </c>
      <c r="C338" s="504" t="s">
        <v>2507</v>
      </c>
      <c r="D338" s="509"/>
      <c r="E338" s="494">
        <v>0</v>
      </c>
      <c r="F338" s="494"/>
      <c r="G338" s="494">
        <v>0</v>
      </c>
      <c r="H338" s="494">
        <v>0</v>
      </c>
      <c r="I338" s="506">
        <v>0</v>
      </c>
      <c r="J338" s="507">
        <f t="shared" si="24"/>
        <v>0</v>
      </c>
      <c r="L338" s="508">
        <f t="shared" si="23"/>
        <v>0</v>
      </c>
    </row>
    <row r="339" spans="1:12">
      <c r="A339" s="492" t="str">
        <f t="shared" si="22"/>
        <v>646</v>
      </c>
      <c r="B339" s="504" t="s">
        <v>2508</v>
      </c>
      <c r="C339" s="504" t="s">
        <v>2509</v>
      </c>
      <c r="D339" s="509"/>
      <c r="E339" s="494">
        <v>0</v>
      </c>
      <c r="F339" s="494"/>
      <c r="G339" s="494">
        <v>0</v>
      </c>
      <c r="H339" s="494">
        <v>2479.27</v>
      </c>
      <c r="I339" s="506">
        <v>2479.27</v>
      </c>
      <c r="J339" s="507">
        <f t="shared" si="24"/>
        <v>-2479.27</v>
      </c>
      <c r="L339" s="508">
        <f t="shared" si="23"/>
        <v>-2479.27</v>
      </c>
    </row>
    <row r="340" spans="1:12">
      <c r="A340" s="492" t="str">
        <f t="shared" si="22"/>
        <v>646</v>
      </c>
      <c r="B340" s="504" t="s">
        <v>2510</v>
      </c>
      <c r="C340" s="504" t="s">
        <v>2511</v>
      </c>
      <c r="D340" s="509"/>
      <c r="E340" s="494">
        <v>0</v>
      </c>
      <c r="F340" s="494"/>
      <c r="G340" s="494">
        <v>0</v>
      </c>
      <c r="H340" s="494">
        <v>3649.33</v>
      </c>
      <c r="I340" s="506">
        <v>3649.33</v>
      </c>
      <c r="J340" s="507">
        <f t="shared" si="24"/>
        <v>-3649.33</v>
      </c>
      <c r="L340" s="508">
        <f t="shared" si="23"/>
        <v>-3649.33</v>
      </c>
    </row>
    <row r="341" spans="1:12">
      <c r="A341" s="492" t="str">
        <f t="shared" si="22"/>
        <v>649</v>
      </c>
      <c r="B341" s="504" t="s">
        <v>2512</v>
      </c>
      <c r="C341" s="504" t="s">
        <v>2513</v>
      </c>
      <c r="D341" s="509"/>
      <c r="E341" s="494">
        <v>0</v>
      </c>
      <c r="F341" s="494"/>
      <c r="G341" s="494">
        <v>0</v>
      </c>
      <c r="H341" s="494">
        <v>4867.2</v>
      </c>
      <c r="I341" s="506">
        <v>4867.2</v>
      </c>
      <c r="J341" s="507">
        <f t="shared" si="24"/>
        <v>-4867.2</v>
      </c>
      <c r="L341" s="508">
        <f t="shared" si="23"/>
        <v>-4867.2</v>
      </c>
    </row>
    <row r="342" spans="1:12">
      <c r="A342" s="492" t="str">
        <f t="shared" si="22"/>
        <v>649</v>
      </c>
      <c r="B342" s="504" t="s">
        <v>2514</v>
      </c>
      <c r="C342" s="504" t="s">
        <v>2515</v>
      </c>
      <c r="D342" s="509"/>
      <c r="E342" s="494">
        <v>0</v>
      </c>
      <c r="F342" s="494"/>
      <c r="G342" s="494">
        <v>0</v>
      </c>
      <c r="H342" s="494">
        <v>41842.97</v>
      </c>
      <c r="I342" s="506">
        <v>41842.97</v>
      </c>
      <c r="J342" s="507">
        <f t="shared" si="24"/>
        <v>-41842.97</v>
      </c>
      <c r="L342" s="508">
        <f t="shared" si="23"/>
        <v>-41842.97</v>
      </c>
    </row>
    <row r="343" spans="1:12">
      <c r="A343" s="492" t="str">
        <f t="shared" si="22"/>
        <v>649</v>
      </c>
      <c r="B343" s="504" t="s">
        <v>2516</v>
      </c>
      <c r="C343" s="504" t="s">
        <v>2517</v>
      </c>
      <c r="D343" s="509"/>
      <c r="E343" s="494">
        <v>0</v>
      </c>
      <c r="F343" s="494"/>
      <c r="G343" s="494">
        <v>0</v>
      </c>
      <c r="H343" s="494">
        <v>575.1</v>
      </c>
      <c r="I343" s="506">
        <v>575.1</v>
      </c>
      <c r="J343" s="507">
        <f t="shared" si="24"/>
        <v>-575.1</v>
      </c>
      <c r="L343" s="508">
        <f t="shared" si="23"/>
        <v>-575.1</v>
      </c>
    </row>
    <row r="344" spans="1:12">
      <c r="A344" s="492" t="str">
        <f t="shared" si="22"/>
        <v>649</v>
      </c>
      <c r="B344" s="504" t="s">
        <v>2518</v>
      </c>
      <c r="C344" s="504" t="s">
        <v>2519</v>
      </c>
      <c r="D344" s="509"/>
      <c r="E344" s="494">
        <v>0</v>
      </c>
      <c r="F344" s="494"/>
      <c r="G344" s="494">
        <v>0</v>
      </c>
      <c r="H344" s="494">
        <v>3678.84</v>
      </c>
      <c r="I344" s="506">
        <v>3678.84</v>
      </c>
      <c r="J344" s="507">
        <f t="shared" si="24"/>
        <v>-3678.84</v>
      </c>
      <c r="L344" s="508">
        <f t="shared" si="23"/>
        <v>-3678.84</v>
      </c>
    </row>
    <row r="345" spans="1:12">
      <c r="A345" s="492" t="str">
        <f t="shared" si="22"/>
        <v>649</v>
      </c>
      <c r="B345" s="504" t="s">
        <v>2520</v>
      </c>
      <c r="C345" s="504" t="s">
        <v>2521</v>
      </c>
      <c r="D345" s="509"/>
      <c r="E345" s="494">
        <v>0</v>
      </c>
      <c r="F345" s="494"/>
      <c r="G345" s="494">
        <v>0</v>
      </c>
      <c r="H345" s="494">
        <v>1208.55</v>
      </c>
      <c r="I345" s="506">
        <v>1208.55</v>
      </c>
      <c r="J345" s="507">
        <f t="shared" si="24"/>
        <v>-1208.55</v>
      </c>
      <c r="L345" s="508">
        <f t="shared" si="23"/>
        <v>-1208.55</v>
      </c>
    </row>
    <row r="346" spans="1:12">
      <c r="A346" s="492" t="str">
        <f t="shared" si="22"/>
        <v>649</v>
      </c>
      <c r="B346" s="504" t="s">
        <v>2522</v>
      </c>
      <c r="C346" s="504" t="s">
        <v>2523</v>
      </c>
      <c r="D346" s="509"/>
      <c r="E346" s="494">
        <v>0</v>
      </c>
      <c r="F346" s="494"/>
      <c r="G346" s="494">
        <v>0</v>
      </c>
      <c r="H346" s="494">
        <v>71.28</v>
      </c>
      <c r="I346" s="506">
        <v>71.28</v>
      </c>
      <c r="J346" s="507">
        <f t="shared" si="24"/>
        <v>-71.28</v>
      </c>
      <c r="L346" s="508">
        <f t="shared" si="23"/>
        <v>-71.28</v>
      </c>
    </row>
    <row r="347" spans="1:12">
      <c r="A347" s="492" t="str">
        <f t="shared" si="22"/>
        <v>651</v>
      </c>
      <c r="B347" s="504" t="s">
        <v>2524</v>
      </c>
      <c r="C347" s="504" t="s">
        <v>2525</v>
      </c>
      <c r="D347" s="509"/>
      <c r="E347" s="494">
        <v>0</v>
      </c>
      <c r="F347" s="494"/>
      <c r="G347" s="494">
        <v>0</v>
      </c>
      <c r="H347" s="494">
        <v>47078.74</v>
      </c>
      <c r="I347" s="506">
        <v>47078.74</v>
      </c>
      <c r="J347" s="507">
        <f t="shared" si="24"/>
        <v>-47078.74</v>
      </c>
      <c r="L347" s="508">
        <f t="shared" si="23"/>
        <v>-47078.74</v>
      </c>
    </row>
    <row r="348" spans="1:12">
      <c r="A348" s="492" t="str">
        <f t="shared" si="22"/>
        <v>654</v>
      </c>
      <c r="B348" s="504" t="s">
        <v>2526</v>
      </c>
      <c r="C348" s="504" t="s">
        <v>2527</v>
      </c>
      <c r="D348" s="509"/>
      <c r="E348" s="494">
        <v>0</v>
      </c>
      <c r="F348" s="494"/>
      <c r="G348" s="494">
        <v>0</v>
      </c>
      <c r="H348" s="494">
        <v>220398.34</v>
      </c>
      <c r="I348" s="506">
        <v>220398.34</v>
      </c>
      <c r="J348" s="507">
        <f t="shared" si="24"/>
        <v>-220398.34</v>
      </c>
      <c r="L348" s="508">
        <f t="shared" si="23"/>
        <v>-220398.34</v>
      </c>
    </row>
    <row r="349" spans="1:12">
      <c r="A349" s="492" t="str">
        <f t="shared" si="22"/>
        <v>654</v>
      </c>
      <c r="B349" s="504" t="s">
        <v>2528</v>
      </c>
      <c r="C349" s="504" t="s">
        <v>2529</v>
      </c>
      <c r="D349" s="509"/>
      <c r="E349" s="494">
        <v>0</v>
      </c>
      <c r="F349" s="494"/>
      <c r="G349" s="494">
        <v>0</v>
      </c>
      <c r="H349" s="494">
        <v>128095.7</v>
      </c>
      <c r="I349" s="506">
        <v>128095.7</v>
      </c>
      <c r="J349" s="507">
        <f t="shared" si="24"/>
        <v>-128095.7</v>
      </c>
      <c r="L349" s="508">
        <f t="shared" si="23"/>
        <v>-128095.7</v>
      </c>
    </row>
    <row r="350" spans="1:12">
      <c r="A350" s="492" t="str">
        <f t="shared" si="22"/>
        <v>654</v>
      </c>
      <c r="B350" s="504" t="s">
        <v>2530</v>
      </c>
      <c r="C350" s="504" t="s">
        <v>2531</v>
      </c>
      <c r="D350" s="509"/>
      <c r="E350" s="494">
        <v>0</v>
      </c>
      <c r="F350" s="494"/>
      <c r="G350" s="494">
        <v>0</v>
      </c>
      <c r="H350" s="494">
        <v>150</v>
      </c>
      <c r="I350" s="506">
        <v>150</v>
      </c>
      <c r="J350" s="507">
        <f t="shared" si="24"/>
        <v>-150</v>
      </c>
      <c r="L350" s="508">
        <f t="shared" si="23"/>
        <v>-150</v>
      </c>
    </row>
    <row r="351" spans="1:12">
      <c r="A351" s="492" t="str">
        <f t="shared" si="22"/>
        <v>656</v>
      </c>
      <c r="B351" s="504" t="s">
        <v>2532</v>
      </c>
      <c r="C351" s="504" t="s">
        <v>2533</v>
      </c>
      <c r="D351" s="509"/>
      <c r="E351" s="494">
        <v>0</v>
      </c>
      <c r="F351" s="494"/>
      <c r="G351" s="494">
        <v>0</v>
      </c>
      <c r="H351" s="494">
        <v>11141.26</v>
      </c>
      <c r="I351" s="506">
        <v>11141.26</v>
      </c>
      <c r="J351" s="507">
        <f t="shared" si="24"/>
        <v>-11141.26</v>
      </c>
      <c r="L351" s="508">
        <f t="shared" si="23"/>
        <v>-11141.26</v>
      </c>
    </row>
    <row r="352" spans="1:12">
      <c r="A352" s="492" t="str">
        <f t="shared" si="22"/>
        <v>665</v>
      </c>
      <c r="B352" s="504" t="s">
        <v>2534</v>
      </c>
      <c r="C352" s="504" t="s">
        <v>2535</v>
      </c>
      <c r="D352" s="509"/>
      <c r="E352" s="494">
        <v>0</v>
      </c>
      <c r="F352" s="494"/>
      <c r="G352" s="494">
        <v>0</v>
      </c>
      <c r="H352" s="494">
        <v>1607.29</v>
      </c>
      <c r="I352" s="506">
        <v>1607.29</v>
      </c>
      <c r="J352" s="507">
        <f t="shared" si="24"/>
        <v>-1607.29</v>
      </c>
      <c r="L352" s="508">
        <f t="shared" si="23"/>
        <v>-1607.29</v>
      </c>
    </row>
    <row r="353" spans="1:12">
      <c r="A353" s="492" t="str">
        <f t="shared" si="22"/>
        <v>691</v>
      </c>
      <c r="B353" s="504" t="s">
        <v>2536</v>
      </c>
      <c r="C353" s="504" t="s">
        <v>2537</v>
      </c>
      <c r="D353" s="509"/>
      <c r="E353" s="494">
        <v>0</v>
      </c>
      <c r="F353" s="494"/>
      <c r="G353" s="494">
        <v>0</v>
      </c>
      <c r="H353" s="494">
        <v>0</v>
      </c>
      <c r="I353" s="506">
        <v>0</v>
      </c>
      <c r="J353" s="507">
        <f t="shared" si="24"/>
        <v>0</v>
      </c>
      <c r="L353" s="508">
        <f t="shared" si="23"/>
        <v>0</v>
      </c>
    </row>
    <row r="354" spans="1:12">
      <c r="A354" s="492" t="str">
        <f t="shared" si="22"/>
        <v>691</v>
      </c>
      <c r="B354" s="504" t="s">
        <v>2538</v>
      </c>
      <c r="C354" s="504" t="s">
        <v>2539</v>
      </c>
      <c r="D354" s="509"/>
      <c r="E354" s="494">
        <v>0</v>
      </c>
      <c r="F354" s="494"/>
      <c r="G354" s="494">
        <v>0</v>
      </c>
      <c r="H354" s="494">
        <v>0</v>
      </c>
      <c r="I354" s="506">
        <v>0</v>
      </c>
      <c r="J354" s="507">
        <f t="shared" si="24"/>
        <v>0</v>
      </c>
      <c r="L354" s="508">
        <f t="shared" si="23"/>
        <v>0</v>
      </c>
    </row>
    <row r="355" spans="1:12">
      <c r="L355" s="511">
        <f>SUM(L5:L354)</f>
        <v>3.9317455957643688E-9</v>
      </c>
    </row>
  </sheetData>
  <autoFilter ref="B4:I354"/>
  <pageMargins left="0.75" right="0.75" top="1" bottom="1" header="0.5" footer="0.5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J13" sqref="J13"/>
    </sheetView>
  </sheetViews>
  <sheetFormatPr defaultRowHeight="11.25"/>
  <cols>
    <col min="1" max="1" width="9.140625" style="215"/>
    <col min="2" max="2" width="11.7109375" style="215" bestFit="1" customWidth="1"/>
    <col min="3" max="3" width="31.7109375" style="215" bestFit="1" customWidth="1"/>
    <col min="4" max="4" width="12" style="215" customWidth="1"/>
    <col min="5" max="16384" width="9.140625" style="215"/>
  </cols>
  <sheetData>
    <row r="1" spans="1:12">
      <c r="B1" s="531"/>
      <c r="C1" s="531"/>
      <c r="D1" s="531"/>
      <c r="E1" s="533" t="s">
        <v>2635</v>
      </c>
      <c r="F1" s="531"/>
      <c r="G1" s="533" t="s">
        <v>1843</v>
      </c>
      <c r="H1" s="531"/>
      <c r="I1" s="531"/>
      <c r="J1" s="531"/>
      <c r="K1" s="531"/>
    </row>
    <row r="2" spans="1:12">
      <c r="B2" s="534" t="s">
        <v>1846</v>
      </c>
      <c r="C2" s="534" t="s">
        <v>1847</v>
      </c>
      <c r="D2" s="533" t="s">
        <v>1849</v>
      </c>
      <c r="E2" s="533" t="s">
        <v>1850</v>
      </c>
      <c r="F2" s="533" t="s">
        <v>1851</v>
      </c>
      <c r="G2" s="533" t="s">
        <v>1850</v>
      </c>
      <c r="H2" s="533" t="s">
        <v>1851</v>
      </c>
      <c r="I2" s="533" t="s">
        <v>1852</v>
      </c>
      <c r="J2" s="533" t="s">
        <v>2636</v>
      </c>
      <c r="K2" s="531" t="s">
        <v>1640</v>
      </c>
    </row>
    <row r="3" spans="1:12">
      <c r="A3" s="215" t="str">
        <f>LEFT(B3,3)</f>
        <v>501</v>
      </c>
      <c r="B3" s="534" t="s">
        <v>2637</v>
      </c>
      <c r="C3" s="534" t="s">
        <v>2638</v>
      </c>
      <c r="D3" s="533">
        <v>0</v>
      </c>
      <c r="E3" s="533">
        <v>0</v>
      </c>
      <c r="F3" s="533">
        <v>0</v>
      </c>
      <c r="G3" s="533">
        <v>1559.75</v>
      </c>
      <c r="H3" s="533">
        <v>0</v>
      </c>
      <c r="I3" s="533">
        <v>1559.75</v>
      </c>
      <c r="J3" s="535">
        <v>1559.75</v>
      </c>
      <c r="K3" s="531" t="s">
        <v>2638</v>
      </c>
    </row>
    <row r="4" spans="1:12">
      <c r="A4" s="215" t="str">
        <f t="shared" ref="A4:A22" si="0">LEFT(B4,3)</f>
        <v>502</v>
      </c>
      <c r="B4" s="534" t="s">
        <v>2639</v>
      </c>
      <c r="C4" s="534" t="s">
        <v>2640</v>
      </c>
      <c r="D4" s="533">
        <v>0</v>
      </c>
      <c r="E4" s="533">
        <v>0</v>
      </c>
      <c r="F4" s="533">
        <v>0</v>
      </c>
      <c r="G4" s="533">
        <v>75610.03</v>
      </c>
      <c r="H4" s="533">
        <v>0</v>
      </c>
      <c r="I4" s="533">
        <v>75610.03</v>
      </c>
      <c r="J4" s="535">
        <v>75610.03</v>
      </c>
      <c r="K4" s="531" t="s">
        <v>2640</v>
      </c>
    </row>
    <row r="5" spans="1:12">
      <c r="A5" s="215" t="str">
        <f t="shared" si="0"/>
        <v>511</v>
      </c>
      <c r="B5" s="534" t="s">
        <v>2641</v>
      </c>
      <c r="C5" s="534" t="s">
        <v>2642</v>
      </c>
      <c r="D5" s="533">
        <v>0</v>
      </c>
      <c r="E5" s="533">
        <v>0</v>
      </c>
      <c r="F5" s="533">
        <v>0</v>
      </c>
      <c r="G5" s="533">
        <v>774.33</v>
      </c>
      <c r="H5" s="533">
        <v>0</v>
      </c>
      <c r="I5" s="533">
        <v>774.33</v>
      </c>
      <c r="J5" s="535">
        <v>774.33</v>
      </c>
      <c r="K5" s="531" t="s">
        <v>2642</v>
      </c>
    </row>
    <row r="6" spans="1:12">
      <c r="A6" s="215" t="str">
        <f t="shared" si="0"/>
        <v>512</v>
      </c>
      <c r="B6" s="534" t="s">
        <v>2113</v>
      </c>
      <c r="C6" s="534" t="s">
        <v>2114</v>
      </c>
      <c r="D6" s="533">
        <v>0</v>
      </c>
      <c r="E6" s="533">
        <v>0</v>
      </c>
      <c r="F6" s="533">
        <v>0</v>
      </c>
      <c r="G6" s="533">
        <v>23.39</v>
      </c>
      <c r="H6" s="533">
        <v>0</v>
      </c>
      <c r="I6" s="533">
        <v>23.39</v>
      </c>
      <c r="J6" s="535">
        <v>23.39</v>
      </c>
      <c r="K6" s="531" t="s">
        <v>2643</v>
      </c>
    </row>
    <row r="7" spans="1:12">
      <c r="A7" s="215" t="str">
        <f t="shared" si="0"/>
        <v>513</v>
      </c>
      <c r="B7" s="534" t="s">
        <v>2117</v>
      </c>
      <c r="C7" s="534" t="s">
        <v>2118</v>
      </c>
      <c r="D7" s="533">
        <v>0</v>
      </c>
      <c r="E7" s="533">
        <v>0</v>
      </c>
      <c r="F7" s="533">
        <v>0</v>
      </c>
      <c r="G7" s="533">
        <v>0</v>
      </c>
      <c r="H7" s="533">
        <v>0</v>
      </c>
      <c r="I7" s="533">
        <v>0</v>
      </c>
      <c r="J7" s="535">
        <v>0</v>
      </c>
      <c r="K7" s="531" t="s">
        <v>2644</v>
      </c>
    </row>
    <row r="8" spans="1:12">
      <c r="A8" s="215" t="str">
        <f t="shared" si="0"/>
        <v>518</v>
      </c>
      <c r="B8" s="534" t="s">
        <v>2645</v>
      </c>
      <c r="C8" s="534" t="s">
        <v>2646</v>
      </c>
      <c r="D8" s="533">
        <v>0</v>
      </c>
      <c r="E8" s="533">
        <v>0</v>
      </c>
      <c r="F8" s="533">
        <v>0</v>
      </c>
      <c r="G8" s="533">
        <v>184170.99</v>
      </c>
      <c r="H8" s="533">
        <v>-69300</v>
      </c>
      <c r="I8" s="533">
        <v>253470.99</v>
      </c>
      <c r="J8" s="535">
        <v>253470.99</v>
      </c>
      <c r="K8" s="531" t="s">
        <v>2646</v>
      </c>
    </row>
    <row r="9" spans="1:12">
      <c r="A9" s="215" t="str">
        <f t="shared" si="0"/>
        <v>521</v>
      </c>
      <c r="B9" s="534" t="s">
        <v>2647</v>
      </c>
      <c r="C9" s="534" t="s">
        <v>2648</v>
      </c>
      <c r="D9" s="533">
        <v>0</v>
      </c>
      <c r="E9" s="533">
        <v>0</v>
      </c>
      <c r="F9" s="533">
        <v>0</v>
      </c>
      <c r="G9" s="533">
        <v>10054.18</v>
      </c>
      <c r="H9" s="533">
        <v>0</v>
      </c>
      <c r="I9" s="533">
        <v>10054.18</v>
      </c>
      <c r="J9" s="535">
        <v>10054.18</v>
      </c>
      <c r="K9" s="531" t="s">
        <v>2648</v>
      </c>
    </row>
    <row r="10" spans="1:12">
      <c r="A10" s="215" t="str">
        <f t="shared" si="0"/>
        <v>524</v>
      </c>
      <c r="B10" s="534" t="s">
        <v>2649</v>
      </c>
      <c r="C10" s="534" t="s">
        <v>2650</v>
      </c>
      <c r="D10" s="533">
        <v>0</v>
      </c>
      <c r="E10" s="533">
        <v>0</v>
      </c>
      <c r="F10" s="533">
        <v>0</v>
      </c>
      <c r="G10" s="533">
        <v>3377.94</v>
      </c>
      <c r="H10" s="533">
        <v>0</v>
      </c>
      <c r="I10" s="533">
        <v>3377.94</v>
      </c>
      <c r="J10" s="535">
        <v>3377.94</v>
      </c>
      <c r="K10" s="531" t="s">
        <v>2650</v>
      </c>
    </row>
    <row r="11" spans="1:12">
      <c r="A11" s="215" t="str">
        <f t="shared" si="0"/>
        <v>527</v>
      </c>
      <c r="B11" s="534" t="s">
        <v>2651</v>
      </c>
      <c r="C11" s="534" t="s">
        <v>2652</v>
      </c>
      <c r="D11" s="533">
        <v>0</v>
      </c>
      <c r="E11" s="533">
        <v>0</v>
      </c>
      <c r="F11" s="533">
        <v>0</v>
      </c>
      <c r="G11" s="533">
        <v>466.66</v>
      </c>
      <c r="H11" s="533">
        <v>0</v>
      </c>
      <c r="I11" s="533">
        <v>466.66</v>
      </c>
      <c r="J11" s="535">
        <v>466.66</v>
      </c>
      <c r="K11" s="531" t="s">
        <v>2652</v>
      </c>
    </row>
    <row r="12" spans="1:12">
      <c r="A12" s="215" t="str">
        <f t="shared" si="0"/>
        <v>538</v>
      </c>
      <c r="B12" s="534" t="s">
        <v>2653</v>
      </c>
      <c r="C12" s="534" t="s">
        <v>2654</v>
      </c>
      <c r="D12" s="533">
        <v>0</v>
      </c>
      <c r="E12" s="533">
        <v>0</v>
      </c>
      <c r="F12" s="533">
        <v>0</v>
      </c>
      <c r="G12" s="533">
        <v>39.630000000000003</v>
      </c>
      <c r="H12" s="533">
        <v>0</v>
      </c>
      <c r="I12" s="533">
        <v>39.630000000000003</v>
      </c>
      <c r="J12" s="535">
        <v>39.630000000000003</v>
      </c>
      <c r="K12" s="531" t="s">
        <v>2655</v>
      </c>
    </row>
    <row r="13" spans="1:12">
      <c r="A13" s="215" t="str">
        <f t="shared" si="0"/>
        <v>549</v>
      </c>
      <c r="B13" s="534" t="s">
        <v>2656</v>
      </c>
      <c r="C13" s="534" t="s">
        <v>2657</v>
      </c>
      <c r="D13" s="533">
        <v>0</v>
      </c>
      <c r="E13" s="533">
        <v>0</v>
      </c>
      <c r="F13" s="533">
        <v>0</v>
      </c>
      <c r="G13" s="533">
        <v>256.57</v>
      </c>
      <c r="H13" s="533">
        <v>0</v>
      </c>
      <c r="I13" s="533">
        <v>256.57</v>
      </c>
      <c r="J13" s="535">
        <v>256.57</v>
      </c>
      <c r="K13" s="531" t="s">
        <v>2658</v>
      </c>
    </row>
    <row r="14" spans="1:12">
      <c r="A14" s="215" t="str">
        <f t="shared" si="0"/>
        <v>551</v>
      </c>
      <c r="B14" s="534" t="s">
        <v>2659</v>
      </c>
      <c r="C14" s="534" t="s">
        <v>2660</v>
      </c>
      <c r="D14" s="533">
        <v>0</v>
      </c>
      <c r="E14" s="533">
        <v>0</v>
      </c>
      <c r="F14" s="533">
        <v>0</v>
      </c>
      <c r="G14" s="533">
        <v>56.36</v>
      </c>
      <c r="H14" s="533">
        <v>0</v>
      </c>
      <c r="I14" s="533">
        <v>56.36</v>
      </c>
      <c r="J14" s="535">
        <v>56.36</v>
      </c>
      <c r="K14" s="531" t="s">
        <v>2661</v>
      </c>
    </row>
    <row r="15" spans="1:12">
      <c r="A15" s="215" t="str">
        <f t="shared" si="0"/>
        <v>552</v>
      </c>
      <c r="B15" s="534">
        <v>552</v>
      </c>
      <c r="C15" s="534" t="s">
        <v>2662</v>
      </c>
      <c r="D15" s="533">
        <v>0</v>
      </c>
      <c r="E15" s="533">
        <v>0</v>
      </c>
      <c r="F15" s="533">
        <v>0</v>
      </c>
      <c r="G15" s="533">
        <v>50126.73</v>
      </c>
      <c r="H15" s="533">
        <v>0</v>
      </c>
      <c r="I15" s="533">
        <v>50126.73</v>
      </c>
      <c r="J15" s="535">
        <v>50126.73</v>
      </c>
      <c r="K15" s="531" t="s">
        <v>768</v>
      </c>
      <c r="L15" s="531" t="s">
        <v>2663</v>
      </c>
    </row>
    <row r="16" spans="1:12">
      <c r="A16" s="215" t="str">
        <f t="shared" si="0"/>
        <v>554</v>
      </c>
      <c r="B16" s="534">
        <v>554</v>
      </c>
      <c r="C16" s="534" t="s">
        <v>337</v>
      </c>
      <c r="D16" s="533">
        <v>0</v>
      </c>
      <c r="E16" s="533">
        <v>0</v>
      </c>
      <c r="F16" s="533">
        <v>0</v>
      </c>
      <c r="G16" s="533">
        <v>339207.44</v>
      </c>
      <c r="H16" s="533">
        <v>0</v>
      </c>
      <c r="I16" s="533">
        <v>339207.44</v>
      </c>
      <c r="J16" s="535">
        <v>295635.69</v>
      </c>
      <c r="K16" s="531" t="s">
        <v>768</v>
      </c>
      <c r="L16" s="531" t="s">
        <v>2663</v>
      </c>
    </row>
    <row r="17" spans="1:12">
      <c r="A17" s="215" t="str">
        <f t="shared" si="0"/>
        <v>558</v>
      </c>
      <c r="B17" s="534" t="s">
        <v>2664</v>
      </c>
      <c r="C17" s="534" t="s">
        <v>2665</v>
      </c>
      <c r="D17" s="533">
        <v>0</v>
      </c>
      <c r="E17" s="533">
        <v>0</v>
      </c>
      <c r="F17" s="533">
        <v>0</v>
      </c>
      <c r="G17" s="533">
        <v>-224.15</v>
      </c>
      <c r="H17" s="533">
        <v>0</v>
      </c>
      <c r="I17" s="533">
        <v>-224.15</v>
      </c>
      <c r="J17" s="535">
        <v>-224.15</v>
      </c>
      <c r="K17" s="531" t="s">
        <v>2666</v>
      </c>
    </row>
    <row r="18" spans="1:12">
      <c r="A18" s="215" t="str">
        <f t="shared" si="0"/>
        <v>602</v>
      </c>
      <c r="B18" s="534" t="s">
        <v>2667</v>
      </c>
      <c r="C18" s="534" t="s">
        <v>2668</v>
      </c>
      <c r="D18" s="533">
        <v>0</v>
      </c>
      <c r="E18" s="533">
        <v>0</v>
      </c>
      <c r="F18" s="533">
        <v>0</v>
      </c>
      <c r="G18" s="533">
        <v>0</v>
      </c>
      <c r="H18" s="533">
        <v>337051.7</v>
      </c>
      <c r="I18" s="533">
        <v>337051.7</v>
      </c>
      <c r="J18" s="535">
        <v>-337051.7</v>
      </c>
      <c r="K18" s="531" t="s">
        <v>2668</v>
      </c>
    </row>
    <row r="19" spans="1:12">
      <c r="A19" s="215" t="str">
        <f t="shared" si="0"/>
        <v>646</v>
      </c>
      <c r="B19" s="534">
        <v>646</v>
      </c>
      <c r="C19" s="534" t="s">
        <v>2669</v>
      </c>
      <c r="D19" s="533">
        <v>0</v>
      </c>
      <c r="E19" s="533">
        <v>0</v>
      </c>
      <c r="F19" s="533">
        <v>0</v>
      </c>
      <c r="G19" s="533">
        <v>0</v>
      </c>
      <c r="H19" s="533">
        <v>6128.6</v>
      </c>
      <c r="I19" s="533">
        <v>6128.6</v>
      </c>
      <c r="J19" s="535">
        <v>-3047.99</v>
      </c>
      <c r="K19" s="531" t="s">
        <v>768</v>
      </c>
      <c r="L19" s="531" t="s">
        <v>2663</v>
      </c>
    </row>
    <row r="20" spans="1:12">
      <c r="A20" s="215" t="str">
        <f t="shared" si="0"/>
        <v>649</v>
      </c>
      <c r="B20" s="534" t="s">
        <v>2670</v>
      </c>
      <c r="C20" s="534" t="s">
        <v>2671</v>
      </c>
      <c r="D20" s="533">
        <v>0</v>
      </c>
      <c r="E20" s="533">
        <v>0</v>
      </c>
      <c r="F20" s="533">
        <v>0</v>
      </c>
      <c r="G20" s="533">
        <v>0</v>
      </c>
      <c r="H20" s="533">
        <v>71.28</v>
      </c>
      <c r="I20" s="533">
        <v>71.28</v>
      </c>
      <c r="J20" s="535">
        <v>-71.28</v>
      </c>
      <c r="K20" s="531" t="s">
        <v>2671</v>
      </c>
    </row>
    <row r="21" spans="1:12">
      <c r="A21" s="215" t="str">
        <f t="shared" si="0"/>
        <v>651</v>
      </c>
      <c r="B21" s="534">
        <v>651</v>
      </c>
      <c r="C21" s="534" t="s">
        <v>2672</v>
      </c>
      <c r="D21" s="533">
        <v>0</v>
      </c>
      <c r="E21" s="533">
        <v>0</v>
      </c>
      <c r="F21" s="533">
        <v>0</v>
      </c>
      <c r="G21" s="533">
        <v>0</v>
      </c>
      <c r="H21" s="533">
        <v>47078.74</v>
      </c>
      <c r="I21" s="533">
        <v>47078.74</v>
      </c>
      <c r="J21" s="535">
        <v>-47078.74</v>
      </c>
      <c r="K21" s="531" t="s">
        <v>768</v>
      </c>
      <c r="L21" s="531" t="s">
        <v>2663</v>
      </c>
    </row>
    <row r="22" spans="1:12">
      <c r="A22" s="215" t="str">
        <f t="shared" si="0"/>
        <v>654</v>
      </c>
      <c r="B22" s="534">
        <v>654</v>
      </c>
      <c r="C22" s="534" t="s">
        <v>2673</v>
      </c>
      <c r="D22" s="533">
        <v>0</v>
      </c>
      <c r="E22" s="533">
        <v>0</v>
      </c>
      <c r="F22" s="533">
        <v>0</v>
      </c>
      <c r="G22" s="533">
        <v>0</v>
      </c>
      <c r="H22" s="533">
        <v>348644.04</v>
      </c>
      <c r="I22" s="533">
        <v>348644.04</v>
      </c>
      <c r="J22" s="535">
        <v>-295635.69</v>
      </c>
      <c r="K22" s="531" t="s">
        <v>768</v>
      </c>
      <c r="L22" s="531" t="s">
        <v>2663</v>
      </c>
    </row>
    <row r="23" spans="1:12">
      <c r="B23" s="531"/>
      <c r="C23" s="531"/>
      <c r="D23" s="531"/>
      <c r="E23" s="531"/>
      <c r="F23" s="531"/>
      <c r="G23" s="531"/>
      <c r="H23" s="531"/>
      <c r="I23" s="531"/>
      <c r="J23" s="531"/>
      <c r="K23" s="531"/>
    </row>
    <row r="24" spans="1:12">
      <c r="B24" s="531"/>
      <c r="C24" s="531"/>
      <c r="D24" s="531"/>
      <c r="E24" s="531"/>
      <c r="F24" s="531"/>
      <c r="G24" s="531"/>
      <c r="H24" s="531"/>
      <c r="I24" s="536" t="s">
        <v>1761</v>
      </c>
      <c r="J24" s="532">
        <f>SUM(J3:J22)</f>
        <v>8342.6999999999534</v>
      </c>
      <c r="K24" s="531" t="s">
        <v>2674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275"/>
  <sheetViews>
    <sheetView zoomScale="80" zoomScaleNormal="80" workbookViewId="0">
      <pane xSplit="5" ySplit="3" topLeftCell="F253" activePane="bottomRight" state="frozen"/>
      <selection pane="topRight" activeCell="G1" sqref="G1"/>
      <selection pane="bottomLeft" activeCell="A4" sqref="A4"/>
      <selection pane="bottomRight" activeCell="D178" sqref="D178"/>
    </sheetView>
  </sheetViews>
  <sheetFormatPr defaultRowHeight="11.25" outlineLevelCol="1"/>
  <cols>
    <col min="1" max="1" width="10.42578125" style="359" customWidth="1"/>
    <col min="2" max="2" width="9.5703125" style="359" customWidth="1"/>
    <col min="3" max="3" width="46.28515625" style="359" customWidth="1"/>
    <col min="4" max="5" width="13.5703125" style="359" bestFit="1" customWidth="1"/>
    <col min="6" max="6" width="10.7109375" style="359" customWidth="1"/>
    <col min="7" max="7" width="11.42578125" style="359" hidden="1" customWidth="1" outlineLevel="1"/>
    <col min="8" max="8" width="13.28515625" style="359" hidden="1" customWidth="1" outlineLevel="1"/>
    <col min="9" max="10" width="12" style="359" hidden="1" customWidth="1" outlineLevel="1"/>
    <col min="11" max="13" width="0" style="359" hidden="1" customWidth="1" outlineLevel="1"/>
    <col min="14" max="14" width="10.140625" style="359" hidden="1" customWidth="1" outlineLevel="1"/>
    <col min="15" max="16" width="11" style="359" hidden="1" customWidth="1" outlineLevel="1"/>
    <col min="17" max="17" width="8.7109375" style="359" hidden="1" customWidth="1" outlineLevel="1"/>
    <col min="18" max="18" width="9.140625" style="359" collapsed="1"/>
    <col min="19" max="21" width="9.140625" style="359"/>
    <col min="22" max="23" width="9.7109375" style="359" customWidth="1"/>
    <col min="24" max="25" width="9.140625" style="359"/>
    <col min="26" max="27" width="11.140625" style="359" customWidth="1"/>
    <col min="28" max="28" width="9.140625" style="359"/>
    <col min="29" max="31" width="10.28515625" style="359" customWidth="1"/>
    <col min="32" max="16384" width="9.140625" style="359"/>
  </cols>
  <sheetData>
    <row r="1" spans="1:36">
      <c r="G1" s="360">
        <f>+G2+VZaS_vykaz!D90</f>
        <v>96778.61999999918</v>
      </c>
    </row>
    <row r="2" spans="1:36">
      <c r="G2" s="360">
        <f>SUM(G4:G272)</f>
        <v>0</v>
      </c>
      <c r="H2" s="360">
        <f>SUM(H153:H272)</f>
        <v>-5215759.169999999</v>
      </c>
      <c r="I2" s="360">
        <f>SUM(I153:I272)</f>
        <v>-54174.429999999993</v>
      </c>
      <c r="J2" s="465">
        <f t="shared" ref="J2:Q2" si="0">SUM(J153:J272)</f>
        <v>0</v>
      </c>
      <c r="K2" s="360">
        <f t="shared" si="0"/>
        <v>0</v>
      </c>
      <c r="L2" s="465">
        <f t="shared" si="0"/>
        <v>-7152.54</v>
      </c>
      <c r="M2" s="360">
        <f t="shared" si="0"/>
        <v>0</v>
      </c>
      <c r="N2" s="465">
        <f t="shared" ref="N2:P2" si="1">SUM(N153:N272)</f>
        <v>-325974.03999999998</v>
      </c>
      <c r="O2" s="360">
        <f t="shared" si="0"/>
        <v>-17882.759999999998</v>
      </c>
      <c r="P2" s="465">
        <f t="shared" si="1"/>
        <v>-3925.12</v>
      </c>
      <c r="Q2" s="360">
        <f t="shared" si="0"/>
        <v>0</v>
      </c>
      <c r="R2" s="466">
        <f>SUM(R4:R152)</f>
        <v>204566.85</v>
      </c>
      <c r="S2" s="483">
        <f>SUM(S4:S152)</f>
        <v>181441.13999999998</v>
      </c>
      <c r="T2" s="359">
        <f t="shared" ref="T2:AJ2" si="2">SUM(T4:T152)</f>
        <v>31699.73</v>
      </c>
      <c r="U2" s="483">
        <f t="shared" si="2"/>
        <v>0</v>
      </c>
      <c r="V2" s="359">
        <f t="shared" si="2"/>
        <v>26615.64</v>
      </c>
      <c r="W2" s="483">
        <f t="shared" si="2"/>
        <v>67.42</v>
      </c>
      <c r="X2" s="359">
        <f t="shared" si="2"/>
        <v>14595.18</v>
      </c>
      <c r="Y2" s="483">
        <f t="shared" si="2"/>
        <v>661.75</v>
      </c>
      <c r="Z2" s="359">
        <f t="shared" si="2"/>
        <v>172417.17</v>
      </c>
      <c r="AA2" s="483">
        <f t="shared" si="2"/>
        <v>69776.67</v>
      </c>
      <c r="AB2" s="359">
        <f t="shared" si="2"/>
        <v>0</v>
      </c>
      <c r="AC2" s="483">
        <f t="shared" si="2"/>
        <v>0</v>
      </c>
      <c r="AD2" s="359">
        <f t="shared" si="2"/>
        <v>114667.84</v>
      </c>
      <c r="AE2" s="483">
        <f t="shared" si="2"/>
        <v>520.92999999999995</v>
      </c>
      <c r="AF2" s="359">
        <f t="shared" si="2"/>
        <v>17240.919999999998</v>
      </c>
      <c r="AG2" s="483">
        <f t="shared" si="2"/>
        <v>29.17</v>
      </c>
      <c r="AH2" s="359">
        <f t="shared" si="2"/>
        <v>30644.170000000002</v>
      </c>
      <c r="AI2" s="359">
        <f t="shared" si="2"/>
        <v>69101.41</v>
      </c>
      <c r="AJ2" s="483">
        <f t="shared" si="2"/>
        <v>973.91000000000008</v>
      </c>
    </row>
    <row r="3" spans="1:36" s="358" customFormat="1" ht="56.25">
      <c r="A3" s="358" t="s">
        <v>1217</v>
      </c>
      <c r="B3" s="490" t="s">
        <v>1750</v>
      </c>
      <c r="C3" s="489" t="s">
        <v>1636</v>
      </c>
      <c r="D3" s="490" t="s">
        <v>1751</v>
      </c>
      <c r="E3" s="488"/>
      <c r="F3" s="358" t="s">
        <v>1640</v>
      </c>
      <c r="G3" s="458" t="s">
        <v>1641</v>
      </c>
      <c r="H3" s="460" t="s">
        <v>1627</v>
      </c>
      <c r="I3" s="460" t="s">
        <v>1628</v>
      </c>
      <c r="J3" s="447" t="s">
        <v>1825</v>
      </c>
      <c r="K3" s="460" t="s">
        <v>1752</v>
      </c>
      <c r="L3" s="447" t="s">
        <v>1826</v>
      </c>
      <c r="M3" s="460" t="s">
        <v>1823</v>
      </c>
      <c r="N3" s="447" t="s">
        <v>3007</v>
      </c>
      <c r="O3" s="460" t="s">
        <v>1824</v>
      </c>
      <c r="P3" s="447" t="s">
        <v>3007</v>
      </c>
      <c r="Q3" s="460" t="s">
        <v>1754</v>
      </c>
      <c r="R3" s="445" t="s">
        <v>1841</v>
      </c>
      <c r="S3" s="448" t="s">
        <v>1842</v>
      </c>
      <c r="T3" s="460" t="s">
        <v>1666</v>
      </c>
      <c r="U3" s="448" t="s">
        <v>1830</v>
      </c>
      <c r="V3" s="460" t="s">
        <v>1652</v>
      </c>
      <c r="W3" s="448" t="s">
        <v>1832</v>
      </c>
      <c r="X3" s="460" t="s">
        <v>1653</v>
      </c>
      <c r="Y3" s="448" t="s">
        <v>1833</v>
      </c>
      <c r="Z3" s="460" t="s">
        <v>1654</v>
      </c>
      <c r="AA3" s="448" t="s">
        <v>1834</v>
      </c>
      <c r="AB3" s="460" t="s">
        <v>1831</v>
      </c>
      <c r="AC3" s="448" t="s">
        <v>1835</v>
      </c>
      <c r="AD3" s="460" t="s">
        <v>1753</v>
      </c>
      <c r="AE3" s="448" t="s">
        <v>1836</v>
      </c>
      <c r="AF3" s="460" t="s">
        <v>1837</v>
      </c>
      <c r="AG3" s="448" t="s">
        <v>1838</v>
      </c>
      <c r="AH3" s="460" t="s">
        <v>1839</v>
      </c>
      <c r="AI3" s="460" t="s">
        <v>396</v>
      </c>
      <c r="AJ3" s="448" t="s">
        <v>1840</v>
      </c>
    </row>
    <row r="4" spans="1:36" ht="11.25" customHeight="1">
      <c r="A4" s="359" t="str">
        <f>LEFT(B4,3)</f>
        <v>501</v>
      </c>
      <c r="B4" s="530" t="s">
        <v>2008</v>
      </c>
      <c r="C4" s="491" t="s">
        <v>2009</v>
      </c>
      <c r="D4" s="360">
        <v>2462.84</v>
      </c>
      <c r="E4" s="529"/>
      <c r="G4" s="360"/>
    </row>
    <row r="5" spans="1:36" ht="11.25" customHeight="1">
      <c r="A5" s="359" t="str">
        <f t="shared" ref="A5:A68" si="3">LEFT(B5,3)</f>
        <v>501</v>
      </c>
      <c r="B5" s="530" t="s">
        <v>2010</v>
      </c>
      <c r="C5" s="491" t="s">
        <v>2011</v>
      </c>
      <c r="D5" s="360">
        <v>3590.46</v>
      </c>
      <c r="E5" s="529"/>
      <c r="G5" s="360"/>
    </row>
    <row r="6" spans="1:36" ht="11.25" customHeight="1">
      <c r="A6" s="359" t="str">
        <f t="shared" si="3"/>
        <v>501</v>
      </c>
      <c r="B6" s="530" t="s">
        <v>2012</v>
      </c>
      <c r="C6" s="491" t="s">
        <v>2013</v>
      </c>
      <c r="D6" s="360">
        <v>2845.96</v>
      </c>
      <c r="E6" s="529"/>
      <c r="G6" s="360"/>
    </row>
    <row r="7" spans="1:36" ht="11.25" customHeight="1">
      <c r="A7" s="359" t="str">
        <f t="shared" si="3"/>
        <v>501</v>
      </c>
      <c r="B7" s="530" t="s">
        <v>2014</v>
      </c>
      <c r="C7" s="491" t="s">
        <v>2015</v>
      </c>
      <c r="D7" s="360">
        <v>177.28</v>
      </c>
      <c r="E7" s="529"/>
      <c r="G7" s="360"/>
    </row>
    <row r="8" spans="1:36" ht="11.25" customHeight="1">
      <c r="A8" s="359" t="str">
        <f t="shared" si="3"/>
        <v>501</v>
      </c>
      <c r="B8" s="530" t="s">
        <v>2016</v>
      </c>
      <c r="C8" s="491" t="s">
        <v>2017</v>
      </c>
      <c r="D8" s="360">
        <v>267.86</v>
      </c>
      <c r="E8" s="529"/>
      <c r="G8" s="360"/>
    </row>
    <row r="9" spans="1:36" ht="11.25" customHeight="1">
      <c r="A9" s="359" t="str">
        <f t="shared" si="3"/>
        <v>501</v>
      </c>
      <c r="B9" s="530" t="s">
        <v>2018</v>
      </c>
      <c r="C9" s="491" t="s">
        <v>2019</v>
      </c>
      <c r="D9" s="360">
        <v>3687.07</v>
      </c>
      <c r="E9" s="529"/>
      <c r="G9" s="360"/>
    </row>
    <row r="10" spans="1:36" ht="11.25" customHeight="1">
      <c r="A10" s="359" t="str">
        <f t="shared" si="3"/>
        <v>501</v>
      </c>
      <c r="B10" s="530" t="s">
        <v>2020</v>
      </c>
      <c r="C10" s="491" t="s">
        <v>2021</v>
      </c>
      <c r="D10" s="360">
        <v>9279.5499999999993</v>
      </c>
      <c r="E10" s="529"/>
      <c r="G10" s="360"/>
    </row>
    <row r="11" spans="1:36" ht="11.25" customHeight="1">
      <c r="A11" s="359" t="str">
        <f t="shared" si="3"/>
        <v>501</v>
      </c>
      <c r="B11" s="530" t="s">
        <v>2022</v>
      </c>
      <c r="C11" s="491" t="s">
        <v>2023</v>
      </c>
      <c r="D11" s="360">
        <v>335.98</v>
      </c>
      <c r="E11" s="528"/>
      <c r="G11" s="360"/>
    </row>
    <row r="12" spans="1:36" ht="11.25" customHeight="1">
      <c r="A12" s="359" t="str">
        <f t="shared" si="3"/>
        <v>501</v>
      </c>
      <c r="B12" s="530" t="s">
        <v>2024</v>
      </c>
      <c r="C12" s="491" t="s">
        <v>2025</v>
      </c>
      <c r="D12" s="360">
        <v>239583.35</v>
      </c>
      <c r="E12" s="528"/>
      <c r="G12" s="360"/>
    </row>
    <row r="13" spans="1:36" ht="11.25" customHeight="1">
      <c r="A13" s="359" t="str">
        <f t="shared" si="3"/>
        <v>501</v>
      </c>
      <c r="B13" s="530" t="s">
        <v>2026</v>
      </c>
      <c r="C13" s="491" t="s">
        <v>2027</v>
      </c>
      <c r="D13" s="360">
        <v>144697.18</v>
      </c>
      <c r="E13" s="529"/>
      <c r="G13" s="360"/>
    </row>
    <row r="14" spans="1:36" ht="11.25" customHeight="1">
      <c r="A14" s="359" t="str">
        <f t="shared" si="3"/>
        <v>501</v>
      </c>
      <c r="B14" s="530" t="s">
        <v>2028</v>
      </c>
      <c r="C14" s="491" t="s">
        <v>2029</v>
      </c>
      <c r="D14" s="360">
        <v>767.06</v>
      </c>
      <c r="E14" s="528"/>
      <c r="G14" s="360"/>
    </row>
    <row r="15" spans="1:36" ht="11.25" customHeight="1">
      <c r="A15" s="359" t="str">
        <f t="shared" si="3"/>
        <v>501</v>
      </c>
      <c r="B15" s="530" t="s">
        <v>2030</v>
      </c>
      <c r="C15" s="491" t="s">
        <v>2031</v>
      </c>
      <c r="D15" s="360">
        <v>3661.7</v>
      </c>
      <c r="E15" s="528"/>
      <c r="G15" s="360"/>
    </row>
    <row r="16" spans="1:36" ht="11.25" customHeight="1">
      <c r="A16" s="359" t="str">
        <f t="shared" si="3"/>
        <v>501</v>
      </c>
      <c r="B16" s="530" t="s">
        <v>2032</v>
      </c>
      <c r="C16" s="491" t="s">
        <v>2033</v>
      </c>
      <c r="D16" s="360">
        <v>42861.99</v>
      </c>
      <c r="E16" s="528"/>
      <c r="G16" s="360"/>
    </row>
    <row r="17" spans="1:7" ht="11.25" customHeight="1">
      <c r="A17" s="359" t="str">
        <f t="shared" si="3"/>
        <v>501</v>
      </c>
      <c r="B17" s="530" t="s">
        <v>2034</v>
      </c>
      <c r="C17" s="491" t="s">
        <v>2035</v>
      </c>
      <c r="D17" s="360">
        <v>311.99</v>
      </c>
      <c r="E17" s="528"/>
      <c r="G17" s="360"/>
    </row>
    <row r="18" spans="1:7" ht="11.25" customHeight="1">
      <c r="A18" s="359" t="str">
        <f t="shared" si="3"/>
        <v>501</v>
      </c>
      <c r="B18" s="530" t="s">
        <v>2036</v>
      </c>
      <c r="C18" s="491" t="s">
        <v>2037</v>
      </c>
      <c r="D18" s="360">
        <v>11782.99</v>
      </c>
      <c r="E18" s="528"/>
      <c r="G18" s="360"/>
    </row>
    <row r="19" spans="1:7" ht="11.25" customHeight="1">
      <c r="A19" s="359" t="str">
        <f t="shared" si="3"/>
        <v>501</v>
      </c>
      <c r="B19" s="530" t="s">
        <v>2038</v>
      </c>
      <c r="C19" s="491" t="s">
        <v>2039</v>
      </c>
      <c r="D19" s="360">
        <v>156522.07</v>
      </c>
      <c r="E19" s="528"/>
      <c r="G19" s="360"/>
    </row>
    <row r="20" spans="1:7" ht="11.25" customHeight="1">
      <c r="A20" s="359" t="str">
        <f t="shared" si="3"/>
        <v>501</v>
      </c>
      <c r="B20" s="530" t="s">
        <v>2040</v>
      </c>
      <c r="C20" s="491" t="s">
        <v>2041</v>
      </c>
      <c r="D20" s="360">
        <v>16312.12</v>
      </c>
      <c r="E20" s="529"/>
      <c r="G20" s="360"/>
    </row>
    <row r="21" spans="1:7" ht="11.25" customHeight="1">
      <c r="A21" s="359" t="str">
        <f t="shared" si="3"/>
        <v>501</v>
      </c>
      <c r="B21" s="530" t="s">
        <v>2042</v>
      </c>
      <c r="C21" s="491" t="s">
        <v>2043</v>
      </c>
      <c r="D21" s="360">
        <v>313985.36</v>
      </c>
      <c r="E21" s="528"/>
      <c r="G21" s="360"/>
    </row>
    <row r="22" spans="1:7" ht="11.25" customHeight="1">
      <c r="A22" s="359" t="str">
        <f t="shared" si="3"/>
        <v>501</v>
      </c>
      <c r="B22" s="530" t="s">
        <v>2044</v>
      </c>
      <c r="C22" s="491" t="s">
        <v>2045</v>
      </c>
      <c r="D22" s="360">
        <v>4429.3599999999997</v>
      </c>
      <c r="E22" s="528"/>
      <c r="G22" s="360"/>
    </row>
    <row r="23" spans="1:7" ht="11.25" customHeight="1">
      <c r="A23" s="359" t="str">
        <f t="shared" si="3"/>
        <v>501</v>
      </c>
      <c r="B23" s="530" t="s">
        <v>2046</v>
      </c>
      <c r="C23" s="491" t="s">
        <v>2047</v>
      </c>
      <c r="D23" s="360">
        <v>36121.129999999997</v>
      </c>
      <c r="E23" s="528"/>
      <c r="G23" s="360"/>
    </row>
    <row r="24" spans="1:7" ht="11.25" customHeight="1">
      <c r="A24" s="359" t="str">
        <f t="shared" si="3"/>
        <v>501</v>
      </c>
      <c r="B24" s="530" t="s">
        <v>2048</v>
      </c>
      <c r="C24" s="491" t="s">
        <v>2049</v>
      </c>
      <c r="D24" s="360">
        <v>14388.1</v>
      </c>
      <c r="E24" s="529"/>
      <c r="G24" s="360"/>
    </row>
    <row r="25" spans="1:7" ht="11.25" customHeight="1">
      <c r="A25" s="359" t="str">
        <f t="shared" si="3"/>
        <v>501</v>
      </c>
      <c r="B25" s="530" t="s">
        <v>2050</v>
      </c>
      <c r="C25" s="491" t="s">
        <v>2051</v>
      </c>
      <c r="D25" s="360">
        <v>169054.75</v>
      </c>
      <c r="E25" s="528"/>
      <c r="G25" s="360"/>
    </row>
    <row r="26" spans="1:7" ht="11.25" customHeight="1">
      <c r="A26" s="359" t="str">
        <f t="shared" si="3"/>
        <v>501</v>
      </c>
      <c r="B26" s="530" t="s">
        <v>2052</v>
      </c>
      <c r="C26" s="491" t="s">
        <v>2053</v>
      </c>
      <c r="D26" s="360">
        <v>72767.759999999995</v>
      </c>
      <c r="E26" s="528"/>
      <c r="G26" s="360"/>
    </row>
    <row r="27" spans="1:7" ht="11.25" customHeight="1">
      <c r="A27" s="359" t="str">
        <f t="shared" si="3"/>
        <v>501</v>
      </c>
      <c r="B27" s="530" t="s">
        <v>2054</v>
      </c>
      <c r="C27" s="491" t="s">
        <v>2055</v>
      </c>
      <c r="D27" s="360">
        <v>3573.29</v>
      </c>
      <c r="E27" s="528"/>
      <c r="G27" s="360"/>
    </row>
    <row r="28" spans="1:7" ht="11.25" customHeight="1">
      <c r="A28" s="359" t="str">
        <f t="shared" si="3"/>
        <v>501</v>
      </c>
      <c r="B28" s="530" t="s">
        <v>2056</v>
      </c>
      <c r="C28" s="491" t="s">
        <v>2057</v>
      </c>
      <c r="D28" s="360">
        <v>17878.099999999999</v>
      </c>
      <c r="E28" s="528"/>
      <c r="G28" s="360"/>
    </row>
    <row r="29" spans="1:7" ht="11.25" customHeight="1">
      <c r="A29" s="359" t="str">
        <f t="shared" si="3"/>
        <v>501</v>
      </c>
      <c r="B29" s="530" t="s">
        <v>2058</v>
      </c>
      <c r="C29" s="491" t="s">
        <v>2059</v>
      </c>
      <c r="D29" s="360">
        <v>10955.94</v>
      </c>
      <c r="E29" s="529"/>
      <c r="G29" s="360"/>
    </row>
    <row r="30" spans="1:7" ht="11.25" customHeight="1">
      <c r="A30" s="359" t="str">
        <f t="shared" si="3"/>
        <v>501</v>
      </c>
      <c r="B30" s="530" t="s">
        <v>2060</v>
      </c>
      <c r="C30" s="491" t="s">
        <v>2061</v>
      </c>
      <c r="D30" s="360">
        <v>2099.14</v>
      </c>
      <c r="E30" s="528"/>
      <c r="G30" s="360"/>
    </row>
    <row r="31" spans="1:7" ht="11.25" customHeight="1">
      <c r="A31" s="359" t="str">
        <f t="shared" si="3"/>
        <v>501</v>
      </c>
      <c r="B31" s="530" t="s">
        <v>2062</v>
      </c>
      <c r="C31" s="491" t="s">
        <v>2063</v>
      </c>
      <c r="D31" s="360">
        <v>10486.85</v>
      </c>
      <c r="E31" s="528"/>
      <c r="G31" s="360"/>
    </row>
    <row r="32" spans="1:7" ht="11.25" customHeight="1">
      <c r="A32" s="359" t="str">
        <f t="shared" si="3"/>
        <v>501</v>
      </c>
      <c r="B32" s="530" t="s">
        <v>2064</v>
      </c>
      <c r="C32" s="491" t="s">
        <v>2065</v>
      </c>
      <c r="D32" s="360">
        <v>5801.26</v>
      </c>
      <c r="E32" s="528"/>
      <c r="G32" s="360"/>
    </row>
    <row r="33" spans="1:37" ht="11.25" customHeight="1">
      <c r="A33" s="359" t="str">
        <f t="shared" si="3"/>
        <v>501</v>
      </c>
      <c r="B33" s="530" t="s">
        <v>2066</v>
      </c>
      <c r="C33" s="491" t="s">
        <v>2067</v>
      </c>
      <c r="D33" s="360">
        <v>1049.5899999999999</v>
      </c>
      <c r="E33" s="528"/>
      <c r="G33" s="360"/>
    </row>
    <row r="34" spans="1:37" ht="11.25" customHeight="1">
      <c r="A34" s="359" t="str">
        <f t="shared" si="3"/>
        <v>501</v>
      </c>
      <c r="B34" s="530" t="s">
        <v>2068</v>
      </c>
      <c r="C34" s="491" t="s">
        <v>2069</v>
      </c>
      <c r="D34" s="360">
        <v>7134.02</v>
      </c>
      <c r="E34" s="528"/>
      <c r="G34" s="360"/>
    </row>
    <row r="35" spans="1:37" ht="11.25" customHeight="1">
      <c r="A35" s="359" t="str">
        <f t="shared" si="3"/>
        <v>501</v>
      </c>
      <c r="B35" s="530" t="s">
        <v>2070</v>
      </c>
      <c r="C35" s="491" t="s">
        <v>2071</v>
      </c>
      <c r="D35" s="360">
        <v>18531.66</v>
      </c>
      <c r="E35" s="529"/>
      <c r="G35" s="360"/>
    </row>
    <row r="36" spans="1:37" ht="11.25" customHeight="1">
      <c r="A36" s="359" t="str">
        <f t="shared" si="3"/>
        <v>501</v>
      </c>
      <c r="B36" s="530" t="s">
        <v>2072</v>
      </c>
      <c r="C36" s="491" t="s">
        <v>2073</v>
      </c>
      <c r="D36" s="360">
        <v>1956.95</v>
      </c>
      <c r="E36" s="528"/>
      <c r="G36" s="360"/>
    </row>
    <row r="37" spans="1:37" ht="11.25" customHeight="1">
      <c r="A37" s="359" t="str">
        <f t="shared" si="3"/>
        <v>501</v>
      </c>
      <c r="B37" s="530" t="s">
        <v>2074</v>
      </c>
      <c r="C37" s="491" t="s">
        <v>2075</v>
      </c>
      <c r="D37" s="360">
        <v>206.35</v>
      </c>
      <c r="E37" s="528"/>
      <c r="G37" s="360"/>
    </row>
    <row r="38" spans="1:37" ht="11.25" customHeight="1">
      <c r="A38" s="359" t="str">
        <f t="shared" si="3"/>
        <v>501</v>
      </c>
      <c r="B38" s="530" t="s">
        <v>2076</v>
      </c>
      <c r="C38" s="491" t="s">
        <v>2077</v>
      </c>
      <c r="D38" s="360">
        <v>519.34</v>
      </c>
      <c r="E38" s="528"/>
      <c r="G38" s="360"/>
    </row>
    <row r="39" spans="1:37" ht="11.25" customHeight="1">
      <c r="A39" s="359" t="str">
        <f t="shared" si="3"/>
        <v>501</v>
      </c>
      <c r="B39" s="530" t="s">
        <v>2078</v>
      </c>
      <c r="C39" s="491" t="s">
        <v>2079</v>
      </c>
      <c r="D39" s="360">
        <v>18.8</v>
      </c>
      <c r="E39" s="528"/>
      <c r="G39" s="360"/>
    </row>
    <row r="40" spans="1:37" ht="11.25" customHeight="1">
      <c r="A40" s="359" t="str">
        <f t="shared" si="3"/>
        <v>501</v>
      </c>
      <c r="B40" s="530" t="s">
        <v>2080</v>
      </c>
      <c r="C40" s="491" t="s">
        <v>2081</v>
      </c>
      <c r="D40" s="360">
        <v>38.35</v>
      </c>
      <c r="E40" s="528"/>
      <c r="G40" s="360"/>
    </row>
    <row r="41" spans="1:37" ht="11.25" customHeight="1">
      <c r="A41" s="359" t="str">
        <f t="shared" si="3"/>
        <v>501</v>
      </c>
      <c r="B41" s="530" t="s">
        <v>2082</v>
      </c>
      <c r="C41" s="491" t="s">
        <v>2083</v>
      </c>
      <c r="D41" s="360">
        <v>62.73</v>
      </c>
      <c r="E41" s="528"/>
      <c r="G41" s="360"/>
    </row>
    <row r="42" spans="1:37" ht="11.25" customHeight="1">
      <c r="A42" s="359" t="str">
        <f t="shared" si="3"/>
        <v>501</v>
      </c>
      <c r="B42" s="530" t="s">
        <v>2084</v>
      </c>
      <c r="C42" s="491" t="s">
        <v>2085</v>
      </c>
      <c r="D42" s="360">
        <v>60.58</v>
      </c>
      <c r="E42" s="528"/>
      <c r="G42" s="360"/>
      <c r="R42" s="360"/>
      <c r="S42" s="360"/>
      <c r="AK42" s="360"/>
    </row>
    <row r="43" spans="1:37" ht="11.25" customHeight="1">
      <c r="A43" s="359" t="str">
        <f t="shared" si="3"/>
        <v>501</v>
      </c>
      <c r="B43" s="530" t="s">
        <v>2086</v>
      </c>
      <c r="C43" s="491" t="s">
        <v>2087</v>
      </c>
      <c r="D43" s="360">
        <v>529.27</v>
      </c>
      <c r="E43" s="529"/>
      <c r="G43" s="360"/>
      <c r="R43" s="360"/>
      <c r="S43" s="360"/>
    </row>
    <row r="44" spans="1:37" ht="11.25" customHeight="1">
      <c r="A44" s="359" t="str">
        <f t="shared" si="3"/>
        <v>501</v>
      </c>
      <c r="B44" s="530" t="s">
        <v>2088</v>
      </c>
      <c r="C44" s="491" t="s">
        <v>2089</v>
      </c>
      <c r="D44" s="360">
        <v>60.25</v>
      </c>
      <c r="E44" s="529"/>
      <c r="G44" s="360"/>
      <c r="R44" s="360"/>
      <c r="S44" s="360"/>
    </row>
    <row r="45" spans="1:37" ht="11.25" customHeight="1">
      <c r="A45" s="359" t="str">
        <f t="shared" si="3"/>
        <v>501</v>
      </c>
      <c r="B45" s="530" t="s">
        <v>2090</v>
      </c>
      <c r="C45" s="491" t="s">
        <v>2091</v>
      </c>
      <c r="D45" s="360">
        <v>45.89</v>
      </c>
      <c r="E45" s="528"/>
      <c r="G45" s="360"/>
      <c r="R45" s="360"/>
      <c r="S45" s="360"/>
    </row>
    <row r="46" spans="1:37" ht="11.25" customHeight="1">
      <c r="A46" s="359" t="str">
        <f t="shared" si="3"/>
        <v>501</v>
      </c>
      <c r="B46" s="530" t="s">
        <v>2092</v>
      </c>
      <c r="C46" s="491" t="s">
        <v>2093</v>
      </c>
      <c r="D46" s="360">
        <v>9.92</v>
      </c>
      <c r="E46" s="528"/>
      <c r="G46" s="360"/>
      <c r="AI46" s="360"/>
      <c r="AJ46" s="360"/>
    </row>
    <row r="47" spans="1:37" ht="11.25" customHeight="1">
      <c r="A47" s="359" t="str">
        <f t="shared" si="3"/>
        <v>501</v>
      </c>
      <c r="B47" s="530" t="s">
        <v>2094</v>
      </c>
      <c r="C47" s="491" t="s">
        <v>2095</v>
      </c>
      <c r="D47" s="360">
        <v>8.27</v>
      </c>
      <c r="E47" s="528"/>
      <c r="G47" s="360"/>
      <c r="X47" s="360"/>
      <c r="Y47" s="360"/>
    </row>
    <row r="48" spans="1:37" ht="11.25" customHeight="1">
      <c r="A48" s="359" t="str">
        <f t="shared" si="3"/>
        <v>502</v>
      </c>
      <c r="B48" s="530" t="s">
        <v>2096</v>
      </c>
      <c r="C48" s="491" t="s">
        <v>1069</v>
      </c>
      <c r="D48" s="360">
        <v>32196.799999999999</v>
      </c>
      <c r="E48" s="528"/>
      <c r="G48" s="360"/>
      <c r="X48" s="360"/>
      <c r="Y48" s="360"/>
    </row>
    <row r="49" spans="1:36" ht="11.25" customHeight="1">
      <c r="A49" s="359" t="str">
        <f t="shared" si="3"/>
        <v>502</v>
      </c>
      <c r="B49" s="530" t="s">
        <v>2097</v>
      </c>
      <c r="C49" s="491" t="s">
        <v>2098</v>
      </c>
      <c r="D49" s="360">
        <v>29713.99</v>
      </c>
      <c r="E49" s="528"/>
      <c r="G49" s="360"/>
      <c r="X49" s="360"/>
      <c r="Y49" s="360"/>
    </row>
    <row r="50" spans="1:36" ht="11.25" customHeight="1">
      <c r="A50" s="359" t="str">
        <f t="shared" si="3"/>
        <v>502</v>
      </c>
      <c r="B50" s="530" t="s">
        <v>2099</v>
      </c>
      <c r="C50" s="491" t="s">
        <v>1072</v>
      </c>
      <c r="D50" s="360">
        <v>126275.27</v>
      </c>
      <c r="E50" s="528"/>
      <c r="G50" s="360"/>
      <c r="X50" s="360"/>
      <c r="Y50" s="360"/>
    </row>
    <row r="51" spans="1:36" ht="11.25" customHeight="1">
      <c r="A51" s="359" t="str">
        <f t="shared" si="3"/>
        <v>502</v>
      </c>
      <c r="B51" s="530" t="s">
        <v>2100</v>
      </c>
      <c r="C51" s="491" t="s">
        <v>1069</v>
      </c>
      <c r="D51" s="360">
        <v>49008.43</v>
      </c>
      <c r="E51" s="528"/>
      <c r="G51" s="360"/>
      <c r="X51" s="360"/>
      <c r="Y51" s="360"/>
    </row>
    <row r="52" spans="1:36" ht="11.25" customHeight="1">
      <c r="A52" s="359" t="str">
        <f t="shared" si="3"/>
        <v>502</v>
      </c>
      <c r="B52" s="530" t="s">
        <v>2101</v>
      </c>
      <c r="C52" s="491" t="s">
        <v>2098</v>
      </c>
      <c r="D52" s="360">
        <v>13358.22</v>
      </c>
      <c r="E52" s="528"/>
      <c r="G52" s="360"/>
      <c r="V52" s="360"/>
      <c r="W52" s="360"/>
    </row>
    <row r="53" spans="1:36" ht="11.25" customHeight="1">
      <c r="A53" s="359" t="str">
        <f t="shared" si="3"/>
        <v>502</v>
      </c>
      <c r="B53" s="530" t="s">
        <v>2102</v>
      </c>
      <c r="C53" s="491" t="s">
        <v>1072</v>
      </c>
      <c r="D53" s="360">
        <v>13243.38</v>
      </c>
      <c r="E53" s="528"/>
      <c r="G53" s="360"/>
      <c r="V53" s="360"/>
      <c r="W53" s="360"/>
    </row>
    <row r="54" spans="1:36" ht="11.25" customHeight="1">
      <c r="A54" s="359" t="str">
        <f t="shared" si="3"/>
        <v>511</v>
      </c>
      <c r="B54" s="530" t="s">
        <v>2103</v>
      </c>
      <c r="C54" s="491" t="s">
        <v>1074</v>
      </c>
      <c r="D54" s="360">
        <v>0</v>
      </c>
      <c r="E54" s="528"/>
      <c r="G54" s="360"/>
      <c r="V54" s="360"/>
      <c r="W54" s="360"/>
    </row>
    <row r="55" spans="1:36" ht="11.25" customHeight="1">
      <c r="A55" s="359" t="str">
        <f t="shared" si="3"/>
        <v>511</v>
      </c>
      <c r="B55" s="530" t="s">
        <v>2104</v>
      </c>
      <c r="C55" s="491" t="s">
        <v>1075</v>
      </c>
      <c r="D55" s="360">
        <v>10078.57</v>
      </c>
      <c r="E55" s="528"/>
      <c r="G55" s="360"/>
      <c r="V55" s="360"/>
      <c r="W55" s="360"/>
    </row>
    <row r="56" spans="1:36" ht="11.25" customHeight="1">
      <c r="A56" s="359" t="str">
        <f t="shared" si="3"/>
        <v>511</v>
      </c>
      <c r="B56" s="530" t="s">
        <v>2105</v>
      </c>
      <c r="C56" s="491" t="s">
        <v>1076</v>
      </c>
      <c r="D56" s="360">
        <v>19397.740000000002</v>
      </c>
      <c r="E56" s="527"/>
      <c r="G56" s="360"/>
      <c r="Z56" s="360"/>
      <c r="AA56" s="360"/>
    </row>
    <row r="57" spans="1:36" ht="11.25" customHeight="1">
      <c r="A57" s="359" t="str">
        <f t="shared" si="3"/>
        <v>511</v>
      </c>
      <c r="B57" s="530" t="s">
        <v>2106</v>
      </c>
      <c r="C57" s="491" t="s">
        <v>1077</v>
      </c>
      <c r="D57" s="360">
        <v>4337.18</v>
      </c>
      <c r="E57" s="528"/>
      <c r="G57" s="360"/>
      <c r="Z57" s="360"/>
      <c r="AA57" s="360"/>
    </row>
    <row r="58" spans="1:36" ht="11.25" customHeight="1">
      <c r="A58" s="359" t="str">
        <f t="shared" si="3"/>
        <v>511</v>
      </c>
      <c r="B58" s="530" t="s">
        <v>2107</v>
      </c>
      <c r="C58" s="491" t="s">
        <v>1075</v>
      </c>
      <c r="D58" s="360">
        <v>572.62</v>
      </c>
      <c r="E58" s="528"/>
      <c r="G58" s="360"/>
      <c r="Z58" s="360"/>
      <c r="AA58" s="360"/>
    </row>
    <row r="59" spans="1:36" ht="11.25" customHeight="1">
      <c r="A59" s="359" t="str">
        <f t="shared" si="3"/>
        <v>511</v>
      </c>
      <c r="B59" s="530" t="s">
        <v>2108</v>
      </c>
      <c r="C59" s="491" t="s">
        <v>1077</v>
      </c>
      <c r="D59" s="360">
        <v>201.71</v>
      </c>
      <c r="E59" s="528"/>
      <c r="G59" s="360"/>
      <c r="AI59" s="360"/>
      <c r="AJ59" s="360"/>
    </row>
    <row r="60" spans="1:36" ht="11.25" customHeight="1">
      <c r="A60" s="359" t="str">
        <f t="shared" si="3"/>
        <v>512</v>
      </c>
      <c r="B60" s="530" t="s">
        <v>2109</v>
      </c>
      <c r="C60" s="491" t="s">
        <v>2110</v>
      </c>
      <c r="D60" s="360">
        <v>1055.97</v>
      </c>
      <c r="E60" s="529"/>
      <c r="G60" s="360"/>
      <c r="AI60" s="360"/>
      <c r="AJ60" s="360"/>
    </row>
    <row r="61" spans="1:36" ht="11.25" customHeight="1">
      <c r="A61" s="359" t="str">
        <f t="shared" si="3"/>
        <v>512</v>
      </c>
      <c r="B61" s="530" t="s">
        <v>2111</v>
      </c>
      <c r="C61" s="491" t="s">
        <v>2112</v>
      </c>
      <c r="D61" s="360">
        <v>47.77</v>
      </c>
      <c r="E61" s="529"/>
      <c r="G61" s="360"/>
      <c r="AH61" s="360"/>
    </row>
    <row r="62" spans="1:36" ht="11.25" customHeight="1">
      <c r="A62" s="359" t="str">
        <f t="shared" si="3"/>
        <v>512</v>
      </c>
      <c r="B62" s="530" t="s">
        <v>2113</v>
      </c>
      <c r="C62" s="491" t="s">
        <v>2114</v>
      </c>
      <c r="D62" s="360">
        <v>23.39</v>
      </c>
      <c r="E62" s="529"/>
      <c r="F62" s="359">
        <f>VLOOKUP(B62,VC!B:J,9,0)</f>
        <v>23.39</v>
      </c>
      <c r="G62" s="360"/>
      <c r="AH62" s="360"/>
    </row>
    <row r="63" spans="1:36" ht="11.25" customHeight="1">
      <c r="A63" s="359" t="str">
        <f t="shared" si="3"/>
        <v>513</v>
      </c>
      <c r="B63" s="530" t="s">
        <v>2115</v>
      </c>
      <c r="C63" s="491" t="s">
        <v>2116</v>
      </c>
      <c r="D63" s="360">
        <v>961.23</v>
      </c>
      <c r="E63" s="528"/>
      <c r="G63" s="360"/>
      <c r="S63" s="360"/>
      <c r="AI63" s="360"/>
      <c r="AJ63" s="360"/>
    </row>
    <row r="64" spans="1:36" ht="11.25" customHeight="1">
      <c r="A64" s="359" t="str">
        <f t="shared" si="3"/>
        <v>513</v>
      </c>
      <c r="B64" s="530" t="s">
        <v>2117</v>
      </c>
      <c r="C64" s="491" t="s">
        <v>2118</v>
      </c>
      <c r="D64" s="360">
        <v>0</v>
      </c>
      <c r="E64" s="528"/>
      <c r="F64" s="359">
        <f>VLOOKUP(B64,VC!B:J,9,0)</f>
        <v>0</v>
      </c>
      <c r="G64" s="360"/>
      <c r="AF64" s="360"/>
      <c r="AG64" s="360"/>
    </row>
    <row r="65" spans="1:36" ht="11.25" customHeight="1">
      <c r="A65" s="359" t="str">
        <f t="shared" si="3"/>
        <v>518</v>
      </c>
      <c r="B65" s="530" t="s">
        <v>2119</v>
      </c>
      <c r="C65" s="491" t="s">
        <v>1085</v>
      </c>
      <c r="D65" s="360">
        <v>198.87</v>
      </c>
      <c r="E65" s="529"/>
      <c r="G65" s="360"/>
      <c r="AF65" s="360"/>
      <c r="AG65" s="360"/>
      <c r="AI65" s="360">
        <f>+D65</f>
        <v>198.87</v>
      </c>
    </row>
    <row r="66" spans="1:36" ht="11.25" customHeight="1">
      <c r="A66" s="359" t="str">
        <f t="shared" si="3"/>
        <v>518</v>
      </c>
      <c r="B66" s="530" t="s">
        <v>2120</v>
      </c>
      <c r="C66" s="491" t="s">
        <v>2121</v>
      </c>
      <c r="D66" s="360">
        <v>25866.99</v>
      </c>
      <c r="E66" s="529"/>
      <c r="G66" s="360"/>
      <c r="R66" s="360">
        <f>+D66</f>
        <v>25866.99</v>
      </c>
      <c r="AF66" s="360"/>
      <c r="AG66" s="360"/>
    </row>
    <row r="67" spans="1:36" ht="11.25" customHeight="1">
      <c r="A67" s="359" t="str">
        <f t="shared" si="3"/>
        <v>518</v>
      </c>
      <c r="B67" s="530" t="s">
        <v>2122</v>
      </c>
      <c r="C67" s="491" t="s">
        <v>2123</v>
      </c>
      <c r="D67" s="360">
        <v>144373.42000000001</v>
      </c>
      <c r="E67" s="528"/>
      <c r="G67" s="360"/>
      <c r="R67" s="360">
        <f>+D67</f>
        <v>144373.42000000001</v>
      </c>
      <c r="AD67" s="360"/>
      <c r="AE67" s="360"/>
    </row>
    <row r="68" spans="1:36" ht="11.25" customHeight="1">
      <c r="A68" s="359" t="str">
        <f t="shared" si="3"/>
        <v>518</v>
      </c>
      <c r="B68" s="530" t="s">
        <v>2124</v>
      </c>
      <c r="C68" s="491" t="s">
        <v>2125</v>
      </c>
      <c r="D68" s="360">
        <v>27142.18</v>
      </c>
      <c r="E68" s="528"/>
      <c r="G68" s="360"/>
      <c r="R68" s="360">
        <f>+D68</f>
        <v>27142.18</v>
      </c>
      <c r="T68" s="360"/>
      <c r="U68" s="360"/>
    </row>
    <row r="69" spans="1:36" ht="11.25" customHeight="1">
      <c r="A69" s="359" t="str">
        <f t="shared" ref="A69:A132" si="4">LEFT(B69,3)</f>
        <v>518</v>
      </c>
      <c r="B69" s="530" t="s">
        <v>2126</v>
      </c>
      <c r="C69" s="491" t="s">
        <v>2127</v>
      </c>
      <c r="D69" s="360">
        <v>7184.26</v>
      </c>
      <c r="E69" s="528"/>
      <c r="G69" s="360"/>
      <c r="R69" s="360">
        <f>+D69</f>
        <v>7184.26</v>
      </c>
      <c r="AI69" s="360"/>
      <c r="AJ69" s="360"/>
    </row>
    <row r="70" spans="1:36" ht="11.25" customHeight="1">
      <c r="A70" s="359" t="str">
        <f t="shared" si="4"/>
        <v>518</v>
      </c>
      <c r="B70" s="530" t="s">
        <v>2128</v>
      </c>
      <c r="C70" s="491" t="s">
        <v>2129</v>
      </c>
      <c r="D70" s="360">
        <v>31699.73</v>
      </c>
      <c r="E70" s="529"/>
      <c r="G70" s="360"/>
      <c r="T70" s="360">
        <f>+D70</f>
        <v>31699.73</v>
      </c>
      <c r="AD70" s="360"/>
      <c r="AH70" s="360"/>
    </row>
    <row r="71" spans="1:36" ht="11.25" customHeight="1">
      <c r="A71" s="359" t="str">
        <f t="shared" si="4"/>
        <v>518</v>
      </c>
      <c r="B71" s="530" t="s">
        <v>2130</v>
      </c>
      <c r="C71" s="491" t="s">
        <v>2131</v>
      </c>
      <c r="D71" s="360">
        <v>114667.84</v>
      </c>
      <c r="E71" s="528"/>
      <c r="G71" s="360"/>
      <c r="AD71" s="360">
        <f>+D71</f>
        <v>114667.84</v>
      </c>
      <c r="AI71" s="360"/>
      <c r="AJ71" s="360"/>
    </row>
    <row r="72" spans="1:36" ht="11.25" customHeight="1">
      <c r="A72" s="359" t="str">
        <f t="shared" si="4"/>
        <v>518</v>
      </c>
      <c r="B72" s="530" t="s">
        <v>2132</v>
      </c>
      <c r="C72" s="491" t="s">
        <v>2133</v>
      </c>
      <c r="D72" s="360">
        <v>26615.64</v>
      </c>
      <c r="E72" s="528"/>
      <c r="G72" s="360"/>
      <c r="V72" s="360">
        <f>+D72</f>
        <v>26615.64</v>
      </c>
      <c r="AI72" s="360"/>
      <c r="AJ72" s="360"/>
    </row>
    <row r="73" spans="1:36" ht="11.25" customHeight="1">
      <c r="A73" s="359" t="str">
        <f t="shared" si="4"/>
        <v>518</v>
      </c>
      <c r="B73" s="530" t="s">
        <v>2134</v>
      </c>
      <c r="C73" s="491" t="s">
        <v>2135</v>
      </c>
      <c r="D73" s="360">
        <v>5418.17</v>
      </c>
      <c r="E73" s="528"/>
      <c r="G73" s="360"/>
      <c r="V73" s="360"/>
      <c r="W73" s="360"/>
      <c r="X73" s="360">
        <f>+D73</f>
        <v>5418.17</v>
      </c>
      <c r="AI73" s="360"/>
      <c r="AJ73" s="360"/>
    </row>
    <row r="74" spans="1:36" ht="11.25" customHeight="1">
      <c r="A74" s="359" t="str">
        <f t="shared" si="4"/>
        <v>518</v>
      </c>
      <c r="B74" s="530" t="s">
        <v>2136</v>
      </c>
      <c r="C74" s="491" t="s">
        <v>1094</v>
      </c>
      <c r="D74" s="360">
        <v>2750.64</v>
      </c>
      <c r="E74" s="528"/>
      <c r="G74" s="360"/>
      <c r="V74" s="360"/>
      <c r="W74" s="360"/>
      <c r="X74" s="360">
        <f>+D74</f>
        <v>2750.64</v>
      </c>
      <c r="AI74" s="360"/>
      <c r="AJ74" s="360"/>
    </row>
    <row r="75" spans="1:36" ht="11.25" customHeight="1">
      <c r="A75" s="359" t="str">
        <f t="shared" si="4"/>
        <v>518</v>
      </c>
      <c r="B75" s="530" t="s">
        <v>2137</v>
      </c>
      <c r="C75" s="491" t="s">
        <v>2138</v>
      </c>
      <c r="D75" s="360">
        <v>6426.37</v>
      </c>
      <c r="E75" s="529"/>
      <c r="G75" s="360"/>
      <c r="V75" s="360"/>
      <c r="W75" s="360"/>
      <c r="X75" s="360">
        <f>+D75</f>
        <v>6426.37</v>
      </c>
      <c r="AI75" s="360"/>
      <c r="AJ75" s="360"/>
    </row>
    <row r="76" spans="1:36" ht="11.25" customHeight="1">
      <c r="A76" s="359" t="str">
        <f t="shared" si="4"/>
        <v>518</v>
      </c>
      <c r="B76" s="530" t="s">
        <v>2141</v>
      </c>
      <c r="C76" s="491" t="s">
        <v>2142</v>
      </c>
      <c r="D76" s="360">
        <v>163900</v>
      </c>
      <c r="E76" s="529"/>
      <c r="G76" s="360"/>
      <c r="W76" s="360"/>
      <c r="Z76" s="360">
        <f>+D76</f>
        <v>163900</v>
      </c>
      <c r="AA76" s="360"/>
      <c r="AB76" s="360"/>
      <c r="AC76" s="360"/>
      <c r="AD76" s="360"/>
      <c r="AE76" s="360"/>
    </row>
    <row r="77" spans="1:36" ht="11.25" customHeight="1">
      <c r="A77" s="359" t="str">
        <f t="shared" si="4"/>
        <v>518</v>
      </c>
      <c r="B77" s="530" t="s">
        <v>2143</v>
      </c>
      <c r="C77" s="491" t="s">
        <v>2144</v>
      </c>
      <c r="D77" s="360">
        <v>8517.17</v>
      </c>
      <c r="E77" s="528"/>
      <c r="G77" s="360"/>
      <c r="Z77" s="360">
        <f>+D77</f>
        <v>8517.17</v>
      </c>
      <c r="AA77" s="360"/>
      <c r="AB77" s="360"/>
      <c r="AC77" s="360"/>
      <c r="AD77" s="360"/>
      <c r="AE77" s="360"/>
    </row>
    <row r="78" spans="1:36" ht="11.25" customHeight="1">
      <c r="A78" s="359" t="str">
        <f t="shared" si="4"/>
        <v>518</v>
      </c>
      <c r="B78" s="530" t="s">
        <v>2145</v>
      </c>
      <c r="C78" s="491" t="s">
        <v>2146</v>
      </c>
      <c r="D78" s="360">
        <v>22210.41</v>
      </c>
      <c r="E78" s="529"/>
      <c r="G78" s="360"/>
      <c r="AB78" s="360"/>
      <c r="AC78" s="360"/>
      <c r="AD78" s="360"/>
      <c r="AE78" s="360"/>
      <c r="AI78" s="360">
        <f>+D78</f>
        <v>22210.41</v>
      </c>
    </row>
    <row r="79" spans="1:36" ht="11.25" customHeight="1">
      <c r="A79" s="359" t="str">
        <f t="shared" si="4"/>
        <v>518</v>
      </c>
      <c r="B79" s="530" t="s">
        <v>2147</v>
      </c>
      <c r="C79" s="491" t="s">
        <v>2148</v>
      </c>
      <c r="D79" s="360">
        <v>20487.060000000001</v>
      </c>
      <c r="E79" s="529"/>
      <c r="G79" s="360"/>
      <c r="AA79" s="360"/>
      <c r="AH79" s="360">
        <f>+D79</f>
        <v>20487.060000000001</v>
      </c>
    </row>
    <row r="80" spans="1:36">
      <c r="A80" s="359" t="str">
        <f t="shared" si="4"/>
        <v>518</v>
      </c>
      <c r="B80" s="530" t="s">
        <v>2149</v>
      </c>
      <c r="C80" s="491" t="s">
        <v>2150</v>
      </c>
      <c r="D80" s="360">
        <v>17240.919999999998</v>
      </c>
      <c r="E80" s="529"/>
      <c r="G80" s="360"/>
      <c r="AF80" s="360">
        <f>+D80</f>
        <v>17240.919999999998</v>
      </c>
    </row>
    <row r="81" spans="1:36" ht="11.25" customHeight="1">
      <c r="A81" s="359" t="str">
        <f t="shared" si="4"/>
        <v>518</v>
      </c>
      <c r="B81" s="530" t="s">
        <v>2151</v>
      </c>
      <c r="C81" s="491" t="s">
        <v>2152</v>
      </c>
      <c r="D81" s="360">
        <v>588.41</v>
      </c>
      <c r="E81" s="529"/>
      <c r="G81" s="360"/>
      <c r="AI81" s="360">
        <f>+D81</f>
        <v>588.41</v>
      </c>
    </row>
    <row r="82" spans="1:36" ht="11.25" customHeight="1">
      <c r="A82" s="359" t="str">
        <f t="shared" si="4"/>
        <v>518</v>
      </c>
      <c r="B82" s="530" t="s">
        <v>2153</v>
      </c>
      <c r="C82" s="491" t="s">
        <v>2154</v>
      </c>
      <c r="D82" s="360">
        <v>10157.11</v>
      </c>
      <c r="E82" s="528"/>
      <c r="G82" s="360"/>
      <c r="AH82" s="360">
        <f>+D82</f>
        <v>10157.11</v>
      </c>
    </row>
    <row r="83" spans="1:36" ht="11.25" customHeight="1">
      <c r="A83" s="359" t="str">
        <f t="shared" si="4"/>
        <v>518</v>
      </c>
      <c r="B83" s="530" t="s">
        <v>2155</v>
      </c>
      <c r="C83" s="491" t="s">
        <v>2156</v>
      </c>
      <c r="D83" s="360">
        <v>46103.72</v>
      </c>
      <c r="E83" s="528"/>
      <c r="G83" s="360"/>
      <c r="AI83" s="360">
        <f>+D83</f>
        <v>46103.72</v>
      </c>
    </row>
    <row r="84" spans="1:36" ht="11.25" customHeight="1">
      <c r="A84" s="359" t="str">
        <f t="shared" si="4"/>
        <v>518</v>
      </c>
      <c r="B84" s="530" t="s">
        <v>2157</v>
      </c>
      <c r="C84" s="491" t="s">
        <v>2158</v>
      </c>
      <c r="D84" s="360">
        <v>11.13</v>
      </c>
      <c r="E84" s="528"/>
      <c r="G84" s="360"/>
      <c r="AJ84" s="360">
        <f>+D84</f>
        <v>11.13</v>
      </c>
    </row>
    <row r="85" spans="1:36" ht="11.25" customHeight="1">
      <c r="A85" s="359" t="str">
        <f t="shared" si="4"/>
        <v>518</v>
      </c>
      <c r="B85" s="530" t="s">
        <v>2159</v>
      </c>
      <c r="C85" s="491" t="s">
        <v>2160</v>
      </c>
      <c r="D85" s="360">
        <v>180630.36</v>
      </c>
      <c r="E85" s="528"/>
      <c r="G85" s="360"/>
      <c r="S85" s="360">
        <f>+D85</f>
        <v>180630.36</v>
      </c>
    </row>
    <row r="86" spans="1:36" ht="11.25" customHeight="1">
      <c r="A86" s="359" t="str">
        <f t="shared" si="4"/>
        <v>518</v>
      </c>
      <c r="B86" s="530" t="s">
        <v>2161</v>
      </c>
      <c r="C86" s="491" t="s">
        <v>2162</v>
      </c>
      <c r="D86" s="360">
        <v>682.48</v>
      </c>
      <c r="E86" s="528"/>
      <c r="G86" s="360"/>
      <c r="S86" s="360">
        <f>+D86</f>
        <v>682.48</v>
      </c>
    </row>
    <row r="87" spans="1:36" ht="11.25" customHeight="1">
      <c r="A87" s="359" t="str">
        <f t="shared" si="4"/>
        <v>518</v>
      </c>
      <c r="B87" s="530" t="s">
        <v>2163</v>
      </c>
      <c r="C87" s="491" t="s">
        <v>2164</v>
      </c>
      <c r="D87" s="360">
        <v>128.30000000000001</v>
      </c>
      <c r="E87" s="528"/>
      <c r="G87" s="360"/>
      <c r="S87" s="360">
        <f>+D87</f>
        <v>128.30000000000001</v>
      </c>
    </row>
    <row r="88" spans="1:36" ht="11.25" customHeight="1">
      <c r="A88" s="359" t="str">
        <f t="shared" si="4"/>
        <v>518</v>
      </c>
      <c r="B88" s="530" t="s">
        <v>2165</v>
      </c>
      <c r="C88" s="491" t="s">
        <v>2166</v>
      </c>
      <c r="D88" s="360">
        <v>0</v>
      </c>
      <c r="E88" s="529"/>
      <c r="G88" s="360"/>
      <c r="S88" s="360">
        <f>+D88</f>
        <v>0</v>
      </c>
    </row>
    <row r="89" spans="1:36" ht="11.25" customHeight="1">
      <c r="A89" s="359" t="str">
        <f t="shared" si="4"/>
        <v>518</v>
      </c>
      <c r="B89" s="530" t="s">
        <v>2167</v>
      </c>
      <c r="C89" s="491" t="s">
        <v>2168</v>
      </c>
      <c r="D89" s="360">
        <v>520.92999999999995</v>
      </c>
      <c r="E89" s="529"/>
      <c r="G89" s="360"/>
      <c r="AE89" s="360">
        <f>+D89</f>
        <v>520.92999999999995</v>
      </c>
    </row>
    <row r="90" spans="1:36" ht="11.25" customHeight="1">
      <c r="A90" s="359" t="str">
        <f t="shared" si="4"/>
        <v>518</v>
      </c>
      <c r="B90" s="530" t="s">
        <v>2169</v>
      </c>
      <c r="C90" s="491" t="s">
        <v>2170</v>
      </c>
      <c r="D90" s="360">
        <v>67.42</v>
      </c>
      <c r="E90" s="529"/>
      <c r="G90" s="360"/>
      <c r="W90" s="360">
        <f>+D90</f>
        <v>67.42</v>
      </c>
    </row>
    <row r="91" spans="1:36" ht="11.25" customHeight="1">
      <c r="A91" s="359" t="str">
        <f t="shared" si="4"/>
        <v>518</v>
      </c>
      <c r="B91" s="530" t="s">
        <v>2171</v>
      </c>
      <c r="C91" s="491" t="s">
        <v>1093</v>
      </c>
      <c r="D91" s="360">
        <v>508.29</v>
      </c>
      <c r="E91" s="528"/>
      <c r="G91" s="360"/>
      <c r="Y91" s="360">
        <f>+D91</f>
        <v>508.29</v>
      </c>
    </row>
    <row r="92" spans="1:36" ht="11.25" customHeight="1">
      <c r="A92" s="359" t="str">
        <f t="shared" si="4"/>
        <v>518</v>
      </c>
      <c r="B92" s="530" t="s">
        <v>2172</v>
      </c>
      <c r="C92" s="491" t="s">
        <v>2173</v>
      </c>
      <c r="D92" s="360">
        <v>153.46</v>
      </c>
      <c r="E92" s="528"/>
      <c r="G92" s="360"/>
      <c r="Y92" s="360">
        <f>+D92</f>
        <v>153.46</v>
      </c>
    </row>
    <row r="93" spans="1:36" ht="11.25" customHeight="1">
      <c r="A93" s="359" t="str">
        <f t="shared" si="4"/>
        <v>518</v>
      </c>
      <c r="B93" s="530" t="s">
        <v>2174</v>
      </c>
      <c r="C93" s="491" t="s">
        <v>2175</v>
      </c>
      <c r="D93" s="360">
        <v>69300</v>
      </c>
      <c r="E93" s="529"/>
      <c r="G93" s="360"/>
      <c r="AA93" s="360">
        <f>+D93</f>
        <v>69300</v>
      </c>
    </row>
    <row r="94" spans="1:36" ht="11.25" customHeight="1">
      <c r="A94" s="359" t="str">
        <f t="shared" si="4"/>
        <v>518</v>
      </c>
      <c r="B94" s="530" t="s">
        <v>2176</v>
      </c>
      <c r="C94" s="491" t="s">
        <v>2177</v>
      </c>
      <c r="D94" s="360">
        <v>476.67</v>
      </c>
      <c r="E94" s="529"/>
      <c r="G94" s="360"/>
      <c r="AA94" s="360">
        <f>+D94</f>
        <v>476.67</v>
      </c>
    </row>
    <row r="95" spans="1:36" ht="11.25" customHeight="1">
      <c r="A95" s="359" t="str">
        <f t="shared" si="4"/>
        <v>518</v>
      </c>
      <c r="B95" s="530" t="s">
        <v>2178</v>
      </c>
      <c r="C95" s="491" t="s">
        <v>2179</v>
      </c>
      <c r="D95" s="360">
        <v>106.61</v>
      </c>
      <c r="E95" s="529"/>
      <c r="G95" s="360"/>
      <c r="AJ95" s="360">
        <f>+D95</f>
        <v>106.61</v>
      </c>
    </row>
    <row r="96" spans="1:36" ht="11.25" customHeight="1">
      <c r="A96" s="359" t="str">
        <f t="shared" si="4"/>
        <v>518</v>
      </c>
      <c r="B96" s="530" t="s">
        <v>2180</v>
      </c>
      <c r="C96" s="491" t="s">
        <v>2181</v>
      </c>
      <c r="D96" s="360">
        <v>29.17</v>
      </c>
      <c r="E96" s="528"/>
      <c r="G96" s="360"/>
      <c r="AG96" s="360">
        <f>+D96</f>
        <v>29.17</v>
      </c>
    </row>
    <row r="97" spans="1:36" ht="11.25" customHeight="1">
      <c r="A97" s="359" t="str">
        <f t="shared" si="4"/>
        <v>518</v>
      </c>
      <c r="B97" s="530" t="s">
        <v>2182</v>
      </c>
      <c r="C97" s="491" t="s">
        <v>2183</v>
      </c>
      <c r="D97" s="360">
        <v>1.59</v>
      </c>
      <c r="E97" s="528"/>
      <c r="G97" s="360"/>
      <c r="AJ97" s="360">
        <f>+D97</f>
        <v>1.59</v>
      </c>
    </row>
    <row r="98" spans="1:36" ht="11.25" customHeight="1">
      <c r="A98" s="359" t="str">
        <f t="shared" si="4"/>
        <v>518</v>
      </c>
      <c r="B98" s="530" t="s">
        <v>2184</v>
      </c>
      <c r="C98" s="491" t="s">
        <v>2185</v>
      </c>
      <c r="D98" s="360">
        <v>854.58</v>
      </c>
      <c r="E98" s="529"/>
      <c r="G98" s="360"/>
      <c r="AJ98" s="360">
        <f>+D98</f>
        <v>854.58</v>
      </c>
    </row>
    <row r="99" spans="1:36" ht="11.25" customHeight="1">
      <c r="A99" s="359" t="str">
        <f t="shared" si="4"/>
        <v>521</v>
      </c>
      <c r="B99" s="530" t="s">
        <v>2186</v>
      </c>
      <c r="C99" s="491" t="s">
        <v>2187</v>
      </c>
      <c r="D99" s="360">
        <v>867609.86</v>
      </c>
      <c r="E99" s="529"/>
      <c r="G99" s="360"/>
    </row>
    <row r="100" spans="1:36" ht="11.25" customHeight="1">
      <c r="A100" s="359" t="str">
        <f t="shared" si="4"/>
        <v>521</v>
      </c>
      <c r="B100" s="530" t="s">
        <v>2188</v>
      </c>
      <c r="C100" s="491" t="s">
        <v>2189</v>
      </c>
      <c r="D100" s="360">
        <v>817522.77</v>
      </c>
      <c r="E100" s="529"/>
      <c r="G100" s="360"/>
    </row>
    <row r="101" spans="1:36" ht="11.25" customHeight="1">
      <c r="A101" s="359" t="str">
        <f t="shared" si="4"/>
        <v>521</v>
      </c>
      <c r="B101" s="530" t="s">
        <v>2190</v>
      </c>
      <c r="C101" s="491" t="s">
        <v>2191</v>
      </c>
      <c r="D101" s="360">
        <v>269367.87</v>
      </c>
      <c r="E101" s="528"/>
      <c r="G101" s="360"/>
    </row>
    <row r="102" spans="1:36" ht="11.25" customHeight="1">
      <c r="A102" s="359" t="str">
        <f t="shared" si="4"/>
        <v>521</v>
      </c>
      <c r="B102" s="530" t="s">
        <v>2192</v>
      </c>
      <c r="C102" s="491" t="s">
        <v>2193</v>
      </c>
      <c r="D102" s="360">
        <v>128586.94</v>
      </c>
      <c r="E102" s="528"/>
      <c r="G102" s="360"/>
    </row>
    <row r="103" spans="1:36" ht="11.25" customHeight="1">
      <c r="A103" s="359" t="str">
        <f t="shared" si="4"/>
        <v>521</v>
      </c>
      <c r="B103" s="530" t="s">
        <v>2194</v>
      </c>
      <c r="C103" s="491" t="s">
        <v>2195</v>
      </c>
      <c r="D103" s="360">
        <v>86376.07</v>
      </c>
      <c r="E103" s="529"/>
      <c r="G103" s="360"/>
    </row>
    <row r="104" spans="1:36" ht="11.25" customHeight="1">
      <c r="A104" s="359" t="str">
        <f t="shared" si="4"/>
        <v>521</v>
      </c>
      <c r="B104" s="530" t="s">
        <v>2196</v>
      </c>
      <c r="C104" s="491" t="s">
        <v>2197</v>
      </c>
      <c r="D104" s="360">
        <v>66495.91</v>
      </c>
      <c r="E104" s="529"/>
      <c r="G104" s="360"/>
    </row>
    <row r="105" spans="1:36" ht="11.25" customHeight="1">
      <c r="A105" s="359" t="str">
        <f t="shared" si="4"/>
        <v>521</v>
      </c>
      <c r="B105" s="530" t="s">
        <v>2198</v>
      </c>
      <c r="C105" s="491" t="s">
        <v>2199</v>
      </c>
      <c r="D105" s="360">
        <v>1350</v>
      </c>
      <c r="E105" s="529"/>
      <c r="G105" s="360"/>
    </row>
    <row r="106" spans="1:36" ht="11.25" customHeight="1">
      <c r="A106" s="359" t="str">
        <f t="shared" si="4"/>
        <v>521</v>
      </c>
      <c r="B106" s="530" t="s">
        <v>2200</v>
      </c>
      <c r="C106" s="491" t="s">
        <v>2201</v>
      </c>
      <c r="D106" s="360">
        <v>64153.33</v>
      </c>
      <c r="E106" s="528"/>
      <c r="G106" s="360"/>
    </row>
    <row r="107" spans="1:36" ht="11.25" customHeight="1">
      <c r="A107" s="359" t="str">
        <f t="shared" si="4"/>
        <v>521</v>
      </c>
      <c r="B107" s="530" t="s">
        <v>2202</v>
      </c>
      <c r="C107" s="491" t="s">
        <v>2203</v>
      </c>
      <c r="D107" s="360">
        <v>-12732.43</v>
      </c>
      <c r="E107" s="528"/>
      <c r="G107" s="360"/>
    </row>
    <row r="108" spans="1:36" ht="11.25" customHeight="1">
      <c r="A108" s="359" t="str">
        <f t="shared" si="4"/>
        <v>521</v>
      </c>
      <c r="B108" s="530" t="s">
        <v>2204</v>
      </c>
      <c r="C108" s="491" t="s">
        <v>2205</v>
      </c>
      <c r="D108" s="360">
        <v>10038.67</v>
      </c>
      <c r="E108" s="528"/>
      <c r="G108" s="360"/>
    </row>
    <row r="109" spans="1:36" ht="11.25" customHeight="1">
      <c r="A109" s="359" t="str">
        <f t="shared" si="4"/>
        <v>521</v>
      </c>
      <c r="B109" s="530" t="s">
        <v>2206</v>
      </c>
      <c r="C109" s="491" t="s">
        <v>2207</v>
      </c>
      <c r="D109" s="360">
        <v>15.51</v>
      </c>
      <c r="E109" s="528"/>
      <c r="G109" s="360"/>
    </row>
    <row r="110" spans="1:36" ht="11.25" customHeight="1">
      <c r="A110" s="359" t="str">
        <f t="shared" si="4"/>
        <v>524</v>
      </c>
      <c r="B110" s="530" t="s">
        <v>2208</v>
      </c>
      <c r="C110" s="491" t="s">
        <v>2209</v>
      </c>
      <c r="D110" s="360">
        <v>82816.13</v>
      </c>
      <c r="E110" s="529"/>
      <c r="G110" s="360"/>
    </row>
    <row r="111" spans="1:36" ht="11.25" customHeight="1">
      <c r="A111" s="359" t="str">
        <f t="shared" si="4"/>
        <v>524</v>
      </c>
      <c r="B111" s="530" t="s">
        <v>2210</v>
      </c>
      <c r="C111" s="491" t="s">
        <v>2211</v>
      </c>
      <c r="D111" s="360">
        <v>79954.73</v>
      </c>
      <c r="E111" s="528"/>
      <c r="G111" s="360"/>
    </row>
    <row r="112" spans="1:36" ht="11.25" customHeight="1">
      <c r="A112" s="359" t="str">
        <f t="shared" si="4"/>
        <v>524</v>
      </c>
      <c r="B112" s="530" t="s">
        <v>2212</v>
      </c>
      <c r="C112" s="491" t="s">
        <v>2213</v>
      </c>
      <c r="D112" s="360">
        <v>25155.08</v>
      </c>
      <c r="E112" s="528"/>
      <c r="G112" s="360"/>
    </row>
    <row r="113" spans="1:7" ht="11.25" customHeight="1">
      <c r="A113" s="359" t="str">
        <f t="shared" si="4"/>
        <v>524</v>
      </c>
      <c r="B113" s="530" t="s">
        <v>2214</v>
      </c>
      <c r="C113" s="491" t="s">
        <v>2215</v>
      </c>
      <c r="D113" s="360">
        <v>11397.3</v>
      </c>
      <c r="E113" s="529"/>
      <c r="G113" s="360"/>
    </row>
    <row r="114" spans="1:7" ht="11.25" customHeight="1">
      <c r="A114" s="359" t="str">
        <f t="shared" si="4"/>
        <v>524</v>
      </c>
      <c r="B114" s="530" t="s">
        <v>2216</v>
      </c>
      <c r="C114" s="491" t="s">
        <v>2217</v>
      </c>
      <c r="D114" s="360">
        <v>8056.74</v>
      </c>
      <c r="E114" s="528"/>
      <c r="G114" s="360"/>
    </row>
    <row r="115" spans="1:7" ht="11.25" customHeight="1">
      <c r="A115" s="359" t="str">
        <f t="shared" si="4"/>
        <v>524</v>
      </c>
      <c r="B115" s="530" t="s">
        <v>2218</v>
      </c>
      <c r="C115" s="491" t="s">
        <v>2219</v>
      </c>
      <c r="D115" s="360">
        <v>197222.43</v>
      </c>
      <c r="E115" s="529"/>
      <c r="G115" s="360"/>
    </row>
    <row r="116" spans="1:7" ht="11.25" customHeight="1">
      <c r="A116" s="359" t="str">
        <f t="shared" si="4"/>
        <v>524</v>
      </c>
      <c r="B116" s="530" t="s">
        <v>2220</v>
      </c>
      <c r="C116" s="491" t="s">
        <v>2221</v>
      </c>
      <c r="D116" s="360">
        <v>182140.75</v>
      </c>
      <c r="E116" s="526"/>
      <c r="G116" s="360"/>
    </row>
    <row r="117" spans="1:7" ht="11.25" customHeight="1">
      <c r="A117" s="359" t="str">
        <f t="shared" si="4"/>
        <v>524</v>
      </c>
      <c r="B117" s="530" t="s">
        <v>2222</v>
      </c>
      <c r="C117" s="491" t="s">
        <v>2223</v>
      </c>
      <c r="D117" s="360">
        <v>60316.75</v>
      </c>
      <c r="E117" s="528"/>
      <c r="G117" s="360"/>
    </row>
    <row r="118" spans="1:7" ht="11.25" customHeight="1">
      <c r="A118" s="359" t="str">
        <f t="shared" si="4"/>
        <v>524</v>
      </c>
      <c r="B118" s="530" t="s">
        <v>2224</v>
      </c>
      <c r="C118" s="491" t="s">
        <v>2225</v>
      </c>
      <c r="D118" s="360">
        <v>27339.19</v>
      </c>
      <c r="E118" s="529"/>
      <c r="G118" s="360"/>
    </row>
    <row r="119" spans="1:7" ht="11.25" customHeight="1">
      <c r="A119" s="359" t="str">
        <f t="shared" si="4"/>
        <v>524</v>
      </c>
      <c r="B119" s="530" t="s">
        <v>2226</v>
      </c>
      <c r="C119" s="491" t="s">
        <v>2227</v>
      </c>
      <c r="D119" s="360">
        <v>19277.77</v>
      </c>
      <c r="E119" s="528"/>
      <c r="G119" s="360"/>
    </row>
    <row r="120" spans="1:7" ht="11.25" customHeight="1">
      <c r="A120" s="359" t="str">
        <f t="shared" si="4"/>
        <v>524</v>
      </c>
      <c r="B120" s="530" t="s">
        <v>2228</v>
      </c>
      <c r="C120" s="491" t="s">
        <v>2229</v>
      </c>
      <c r="D120" s="360">
        <v>23916.240000000002</v>
      </c>
      <c r="E120" s="529"/>
      <c r="G120" s="360"/>
    </row>
    <row r="121" spans="1:7" ht="11.25" customHeight="1">
      <c r="A121" s="359" t="str">
        <f t="shared" si="4"/>
        <v>524</v>
      </c>
      <c r="B121" s="530" t="s">
        <v>2230</v>
      </c>
      <c r="C121" s="491" t="s">
        <v>2231</v>
      </c>
      <c r="D121" s="360">
        <v>24554.05</v>
      </c>
      <c r="E121" s="528"/>
      <c r="G121" s="360"/>
    </row>
    <row r="122" spans="1:7" ht="11.25" customHeight="1">
      <c r="A122" s="359" t="str">
        <f t="shared" si="4"/>
        <v>524</v>
      </c>
      <c r="B122" s="530" t="s">
        <v>2232</v>
      </c>
      <c r="C122" s="491" t="s">
        <v>2233</v>
      </c>
      <c r="D122" s="360">
        <v>8050.5</v>
      </c>
      <c r="E122" s="528"/>
      <c r="G122" s="360"/>
    </row>
    <row r="123" spans="1:7" ht="11.25" customHeight="1">
      <c r="A123" s="359" t="str">
        <f t="shared" si="4"/>
        <v>524</v>
      </c>
      <c r="B123" s="530" t="s">
        <v>2234</v>
      </c>
      <c r="C123" s="491" t="s">
        <v>2235</v>
      </c>
      <c r="D123" s="360">
        <v>2924.52</v>
      </c>
      <c r="E123" s="528"/>
      <c r="G123" s="360"/>
    </row>
    <row r="124" spans="1:7" ht="11.25" customHeight="1">
      <c r="A124" s="359" t="str">
        <f t="shared" si="4"/>
        <v>524</v>
      </c>
      <c r="B124" s="530" t="s">
        <v>2236</v>
      </c>
      <c r="C124" s="491" t="s">
        <v>2237</v>
      </c>
      <c r="D124" s="360">
        <v>2635.92</v>
      </c>
      <c r="E124" s="528"/>
      <c r="G124" s="360"/>
    </row>
    <row r="125" spans="1:7" ht="11.25" customHeight="1">
      <c r="A125" s="359" t="str">
        <f t="shared" si="4"/>
        <v>524</v>
      </c>
      <c r="B125" s="530" t="s">
        <v>2238</v>
      </c>
      <c r="C125" s="491" t="s">
        <v>2239</v>
      </c>
      <c r="D125" s="360">
        <v>2271.88</v>
      </c>
      <c r="E125" s="529"/>
      <c r="G125" s="360"/>
    </row>
    <row r="126" spans="1:7" ht="11.25" customHeight="1">
      <c r="A126" s="359" t="str">
        <f t="shared" si="4"/>
        <v>524</v>
      </c>
      <c r="B126" s="530" t="s">
        <v>2240</v>
      </c>
      <c r="C126" s="491" t="s">
        <v>2241</v>
      </c>
      <c r="D126" s="360">
        <v>2070.3000000000002</v>
      </c>
      <c r="E126" s="529"/>
      <c r="G126" s="360"/>
    </row>
    <row r="127" spans="1:7" ht="11.25" customHeight="1">
      <c r="A127" s="359" t="str">
        <f t="shared" si="4"/>
        <v>524</v>
      </c>
      <c r="B127" s="530" t="s">
        <v>2242</v>
      </c>
      <c r="C127" s="491" t="s">
        <v>2243</v>
      </c>
      <c r="D127" s="360">
        <v>688.12</v>
      </c>
      <c r="E127" s="529"/>
      <c r="G127" s="360"/>
    </row>
    <row r="128" spans="1:7" ht="11.25" customHeight="1">
      <c r="A128" s="359" t="str">
        <f t="shared" si="4"/>
        <v>524</v>
      </c>
      <c r="B128" s="530" t="s">
        <v>2244</v>
      </c>
      <c r="C128" s="491" t="s">
        <v>2245</v>
      </c>
      <c r="D128" s="360">
        <v>314.25</v>
      </c>
      <c r="E128" s="529"/>
      <c r="G128" s="360"/>
    </row>
    <row r="129" spans="1:7" ht="11.25" customHeight="1">
      <c r="A129" s="359" t="str">
        <f t="shared" si="4"/>
        <v>524</v>
      </c>
      <c r="B129" s="530" t="s">
        <v>2246</v>
      </c>
      <c r="C129" s="491" t="s">
        <v>2247</v>
      </c>
      <c r="D129" s="360">
        <v>224.92</v>
      </c>
      <c r="E129" s="529"/>
      <c r="G129" s="360"/>
    </row>
    <row r="130" spans="1:7" ht="11.25" customHeight="1">
      <c r="A130" s="359" t="str">
        <f t="shared" si="4"/>
        <v>524</v>
      </c>
      <c r="B130" s="530" t="s">
        <v>2248</v>
      </c>
      <c r="C130" s="491" t="s">
        <v>2249</v>
      </c>
      <c r="D130" s="360">
        <v>-3045.57</v>
      </c>
      <c r="E130" s="529"/>
      <c r="G130" s="360"/>
    </row>
    <row r="131" spans="1:7" ht="11.25" customHeight="1">
      <c r="A131" s="359" t="str">
        <f t="shared" si="4"/>
        <v>524</v>
      </c>
      <c r="B131" s="530" t="s">
        <v>2250</v>
      </c>
      <c r="C131" s="491" t="s">
        <v>2251</v>
      </c>
      <c r="D131" s="360">
        <v>22709.17</v>
      </c>
      <c r="E131" s="528"/>
      <c r="G131" s="360"/>
    </row>
    <row r="132" spans="1:7" ht="11.25" customHeight="1">
      <c r="A132" s="359" t="str">
        <f t="shared" si="4"/>
        <v>524</v>
      </c>
      <c r="B132" s="530" t="s">
        <v>2252</v>
      </c>
      <c r="C132" s="491" t="s">
        <v>2253</v>
      </c>
      <c r="D132" s="360">
        <v>900.22</v>
      </c>
      <c r="E132" s="528"/>
      <c r="G132" s="360"/>
    </row>
    <row r="133" spans="1:7" ht="11.25" customHeight="1">
      <c r="A133" s="359" t="str">
        <f t="shared" ref="A133:A196" si="5">LEFT(B133,3)</f>
        <v>524</v>
      </c>
      <c r="B133" s="530" t="s">
        <v>2254</v>
      </c>
      <c r="C133" s="491" t="s">
        <v>2255</v>
      </c>
      <c r="D133" s="360">
        <v>2472.2399999999998</v>
      </c>
      <c r="E133" s="529"/>
      <c r="G133" s="360"/>
    </row>
    <row r="134" spans="1:7" ht="11.25" customHeight="1">
      <c r="A134" s="359" t="str">
        <f t="shared" si="5"/>
        <v>524</v>
      </c>
      <c r="B134" s="530" t="s">
        <v>2256</v>
      </c>
      <c r="C134" s="491" t="s">
        <v>2257</v>
      </c>
      <c r="D134" s="360">
        <v>5.48</v>
      </c>
      <c r="E134" s="528"/>
      <c r="G134" s="360"/>
    </row>
    <row r="135" spans="1:7" ht="11.25" customHeight="1">
      <c r="A135" s="359" t="str">
        <f t="shared" si="5"/>
        <v>525</v>
      </c>
      <c r="B135" s="530" t="s">
        <v>2258</v>
      </c>
      <c r="C135" s="491" t="s">
        <v>2259</v>
      </c>
      <c r="D135" s="360">
        <v>1254.67</v>
      </c>
      <c r="E135" s="529"/>
      <c r="G135" s="360"/>
    </row>
    <row r="136" spans="1:7" ht="11.25" customHeight="1">
      <c r="A136" s="359" t="str">
        <f t="shared" si="5"/>
        <v>527</v>
      </c>
      <c r="B136" s="530" t="s">
        <v>2260</v>
      </c>
      <c r="C136" s="491" t="s">
        <v>2261</v>
      </c>
      <c r="D136" s="360">
        <v>15684.43</v>
      </c>
      <c r="E136" s="529"/>
      <c r="G136" s="360"/>
    </row>
    <row r="137" spans="1:7" ht="11.25" customHeight="1">
      <c r="A137" s="359" t="str">
        <f t="shared" si="5"/>
        <v>527</v>
      </c>
      <c r="B137" s="530" t="s">
        <v>2262</v>
      </c>
      <c r="C137" s="491" t="s">
        <v>2263</v>
      </c>
      <c r="D137" s="360">
        <v>1860.43</v>
      </c>
      <c r="E137" s="529"/>
      <c r="G137" s="360"/>
    </row>
    <row r="138" spans="1:7" ht="11.25" customHeight="1">
      <c r="A138" s="359" t="str">
        <f t="shared" si="5"/>
        <v>527</v>
      </c>
      <c r="B138" s="530" t="s">
        <v>2264</v>
      </c>
      <c r="C138" s="491" t="s">
        <v>2265</v>
      </c>
      <c r="D138" s="360">
        <v>5516.56</v>
      </c>
      <c r="E138" s="529"/>
      <c r="G138" s="360"/>
    </row>
    <row r="139" spans="1:7" ht="11.25" customHeight="1">
      <c r="A139" s="359" t="str">
        <f t="shared" si="5"/>
        <v>527</v>
      </c>
      <c r="B139" s="530" t="s">
        <v>2266</v>
      </c>
      <c r="C139" s="491" t="s">
        <v>2267</v>
      </c>
      <c r="D139" s="360">
        <v>405.03</v>
      </c>
      <c r="E139" s="528"/>
      <c r="G139" s="360"/>
    </row>
    <row r="140" spans="1:7" ht="11.25" customHeight="1">
      <c r="A140" s="359" t="str">
        <f t="shared" si="5"/>
        <v>527</v>
      </c>
      <c r="B140" s="530" t="s">
        <v>2268</v>
      </c>
      <c r="C140" s="491" t="s">
        <v>2269</v>
      </c>
      <c r="D140" s="360">
        <v>6999.59</v>
      </c>
      <c r="E140" s="528"/>
      <c r="G140" s="360"/>
    </row>
    <row r="141" spans="1:7" ht="11.25" customHeight="1">
      <c r="A141" s="359" t="str">
        <f t="shared" si="5"/>
        <v>527</v>
      </c>
      <c r="B141" s="530" t="s">
        <v>2270</v>
      </c>
      <c r="C141" s="491" t="s">
        <v>2271</v>
      </c>
      <c r="D141" s="360">
        <v>2774.37</v>
      </c>
      <c r="E141" s="528"/>
      <c r="G141" s="360"/>
    </row>
    <row r="142" spans="1:7" ht="11.25" customHeight="1">
      <c r="A142" s="359" t="str">
        <f t="shared" si="5"/>
        <v>527</v>
      </c>
      <c r="B142" s="530" t="s">
        <v>2272</v>
      </c>
      <c r="C142" s="491" t="s">
        <v>2273</v>
      </c>
      <c r="D142" s="360">
        <v>3468.96</v>
      </c>
      <c r="E142" s="528"/>
      <c r="G142" s="360"/>
    </row>
    <row r="143" spans="1:7" ht="11.25" customHeight="1">
      <c r="A143" s="359" t="str">
        <f t="shared" si="5"/>
        <v>527</v>
      </c>
      <c r="B143" s="530" t="s">
        <v>2274</v>
      </c>
      <c r="C143" s="491" t="s">
        <v>2275</v>
      </c>
      <c r="D143" s="360">
        <v>2975.02</v>
      </c>
      <c r="E143" s="529"/>
      <c r="G143" s="360"/>
    </row>
    <row r="144" spans="1:7" ht="11.25" customHeight="1">
      <c r="A144" s="359" t="str">
        <f t="shared" si="5"/>
        <v>527</v>
      </c>
      <c r="B144" s="530" t="s">
        <v>2276</v>
      </c>
      <c r="C144" s="491" t="s">
        <v>2277</v>
      </c>
      <c r="D144" s="360">
        <v>479.74</v>
      </c>
      <c r="E144" s="529"/>
      <c r="G144" s="360"/>
    </row>
    <row r="145" spans="1:8" ht="11.25" customHeight="1">
      <c r="A145" s="359" t="str">
        <f t="shared" si="5"/>
        <v>527</v>
      </c>
      <c r="B145" s="530" t="s">
        <v>2278</v>
      </c>
      <c r="C145" s="491" t="s">
        <v>2279</v>
      </c>
      <c r="D145" s="360">
        <v>19392.72</v>
      </c>
      <c r="E145" s="529"/>
      <c r="G145" s="360"/>
    </row>
    <row r="146" spans="1:8" ht="11.25" customHeight="1">
      <c r="A146" s="359" t="str">
        <f t="shared" si="5"/>
        <v>527</v>
      </c>
      <c r="B146" s="530" t="s">
        <v>2280</v>
      </c>
      <c r="C146" s="491" t="s">
        <v>2281</v>
      </c>
      <c r="D146" s="360">
        <v>899.9</v>
      </c>
      <c r="E146" s="529"/>
      <c r="G146" s="360"/>
    </row>
    <row r="147" spans="1:8" ht="11.25" customHeight="1">
      <c r="A147" s="359" t="str">
        <f t="shared" si="5"/>
        <v>527</v>
      </c>
      <c r="B147" s="530" t="s">
        <v>2282</v>
      </c>
      <c r="C147" s="491" t="s">
        <v>2283</v>
      </c>
      <c r="D147" s="360">
        <v>2058.8200000000002</v>
      </c>
      <c r="E147" s="529"/>
      <c r="G147" s="360"/>
    </row>
    <row r="148" spans="1:8" ht="11.25" customHeight="1">
      <c r="A148" s="359" t="str">
        <f t="shared" si="5"/>
        <v>527</v>
      </c>
      <c r="B148" s="530" t="s">
        <v>2284</v>
      </c>
      <c r="C148" s="491" t="s">
        <v>2285</v>
      </c>
      <c r="D148" s="360">
        <v>18.7</v>
      </c>
      <c r="E148" s="529"/>
      <c r="G148" s="360"/>
    </row>
    <row r="149" spans="1:8" ht="11.25" customHeight="1">
      <c r="A149" s="359" t="str">
        <f t="shared" si="5"/>
        <v>527</v>
      </c>
      <c r="B149" s="530" t="s">
        <v>2286</v>
      </c>
      <c r="C149" s="491" t="s">
        <v>2287</v>
      </c>
      <c r="D149" s="360">
        <v>87.61</v>
      </c>
      <c r="E149" s="529"/>
      <c r="G149" s="360"/>
    </row>
    <row r="150" spans="1:8" ht="11.25" customHeight="1">
      <c r="A150" s="359" t="str">
        <f t="shared" si="5"/>
        <v>527</v>
      </c>
      <c r="B150" s="530" t="s">
        <v>2288</v>
      </c>
      <c r="C150" s="491" t="s">
        <v>2289</v>
      </c>
      <c r="D150" s="360">
        <v>155.28</v>
      </c>
      <c r="E150" s="529"/>
      <c r="G150" s="360"/>
    </row>
    <row r="151" spans="1:8" ht="11.25" customHeight="1">
      <c r="A151" s="359" t="str">
        <f t="shared" si="5"/>
        <v>527</v>
      </c>
      <c r="B151" s="530" t="s">
        <v>2290</v>
      </c>
      <c r="C151" s="491" t="s">
        <v>2291</v>
      </c>
      <c r="D151" s="360">
        <v>166.5</v>
      </c>
      <c r="E151" s="529"/>
      <c r="G151" s="360"/>
    </row>
    <row r="152" spans="1:8" ht="11.25" customHeight="1">
      <c r="A152" s="359" t="str">
        <f t="shared" si="5"/>
        <v>527</v>
      </c>
      <c r="B152" s="530" t="s">
        <v>2292</v>
      </c>
      <c r="C152" s="491" t="s">
        <v>2293</v>
      </c>
      <c r="D152" s="360">
        <v>38.57</v>
      </c>
      <c r="E152" s="529"/>
      <c r="G152" s="360"/>
    </row>
    <row r="153" spans="1:8" ht="11.25" customHeight="1">
      <c r="A153" s="359" t="str">
        <f t="shared" si="5"/>
        <v>528</v>
      </c>
      <c r="B153" s="530" t="s">
        <v>2294</v>
      </c>
      <c r="C153" s="491" t="s">
        <v>2295</v>
      </c>
      <c r="D153" s="360">
        <v>874.04</v>
      </c>
      <c r="E153" s="529"/>
      <c r="G153" s="360"/>
      <c r="H153" s="360"/>
    </row>
    <row r="154" spans="1:8" ht="11.25" customHeight="1">
      <c r="A154" s="359" t="str">
        <f t="shared" si="5"/>
        <v>538</v>
      </c>
      <c r="B154" s="530" t="s">
        <v>2296</v>
      </c>
      <c r="C154" s="491" t="s">
        <v>2297</v>
      </c>
      <c r="D154" s="360">
        <v>400.33</v>
      </c>
      <c r="E154" s="529"/>
      <c r="G154" s="360"/>
      <c r="H154" s="360"/>
    </row>
    <row r="155" spans="1:8" ht="11.25" customHeight="1">
      <c r="A155" s="359" t="str">
        <f t="shared" si="5"/>
        <v>538</v>
      </c>
      <c r="B155" s="530" t="s">
        <v>2298</v>
      </c>
      <c r="C155" s="491" t="s">
        <v>2299</v>
      </c>
      <c r="D155" s="360">
        <v>0</v>
      </c>
      <c r="E155" s="529"/>
      <c r="G155" s="360"/>
      <c r="H155" s="360"/>
    </row>
    <row r="156" spans="1:8" ht="11.25" customHeight="1">
      <c r="A156" s="359" t="str">
        <f t="shared" si="5"/>
        <v>538</v>
      </c>
      <c r="B156" s="530" t="s">
        <v>2300</v>
      </c>
      <c r="C156" s="491" t="s">
        <v>2301</v>
      </c>
      <c r="D156" s="360">
        <v>307.93</v>
      </c>
      <c r="E156" s="529"/>
      <c r="G156" s="360"/>
      <c r="H156" s="360"/>
    </row>
    <row r="157" spans="1:8" ht="11.25" customHeight="1">
      <c r="A157" s="359" t="str">
        <f t="shared" si="5"/>
        <v>538</v>
      </c>
      <c r="B157" s="530" t="s">
        <v>2302</v>
      </c>
      <c r="C157" s="491" t="s">
        <v>2303</v>
      </c>
      <c r="D157" s="360">
        <v>39.630000000000003</v>
      </c>
      <c r="E157" s="529"/>
      <c r="G157" s="360"/>
      <c r="H157" s="360"/>
    </row>
    <row r="158" spans="1:8" ht="11.25" customHeight="1">
      <c r="A158" s="359" t="str">
        <f t="shared" si="5"/>
        <v>541</v>
      </c>
      <c r="B158" s="530" t="s">
        <v>2304</v>
      </c>
      <c r="C158" s="491" t="s">
        <v>2305</v>
      </c>
      <c r="D158" s="360">
        <v>8416</v>
      </c>
      <c r="E158" s="529"/>
      <c r="G158" s="360"/>
      <c r="H158" s="360"/>
    </row>
    <row r="159" spans="1:8" ht="11.25" customHeight="1">
      <c r="A159" s="359" t="str">
        <f t="shared" si="5"/>
        <v>542</v>
      </c>
      <c r="B159" s="530" t="s">
        <v>2306</v>
      </c>
      <c r="C159" s="491" t="s">
        <v>2307</v>
      </c>
      <c r="D159" s="360">
        <v>0</v>
      </c>
      <c r="E159" s="529"/>
      <c r="G159" s="360"/>
      <c r="H159" s="360"/>
    </row>
    <row r="160" spans="1:8" ht="11.25" customHeight="1">
      <c r="A160" s="359" t="str">
        <f t="shared" si="5"/>
        <v>542</v>
      </c>
      <c r="B160" s="530" t="s">
        <v>2308</v>
      </c>
      <c r="C160" s="491" t="s">
        <v>2309</v>
      </c>
      <c r="D160" s="360">
        <v>2000</v>
      </c>
      <c r="E160" s="529"/>
      <c r="G160" s="360"/>
      <c r="H160" s="360"/>
    </row>
    <row r="161" spans="1:8" ht="11.25" customHeight="1">
      <c r="A161" s="359" t="str">
        <f t="shared" si="5"/>
        <v>544</v>
      </c>
      <c r="B161" s="530" t="s">
        <v>2310</v>
      </c>
      <c r="C161" s="491" t="s">
        <v>2311</v>
      </c>
      <c r="D161" s="360">
        <v>1.2</v>
      </c>
      <c r="E161" s="529"/>
      <c r="G161" s="360"/>
      <c r="H161" s="360"/>
    </row>
    <row r="162" spans="1:8" ht="11.25" customHeight="1">
      <c r="A162" s="359" t="str">
        <f t="shared" si="5"/>
        <v>545</v>
      </c>
      <c r="B162" s="530" t="s">
        <v>2312</v>
      </c>
      <c r="C162" s="491" t="s">
        <v>2313</v>
      </c>
      <c r="D162" s="360">
        <v>8.56</v>
      </c>
      <c r="E162" s="529"/>
      <c r="G162" s="360"/>
      <c r="H162" s="360"/>
    </row>
    <row r="163" spans="1:8" ht="11.25" customHeight="1">
      <c r="A163" s="359" t="str">
        <f t="shared" si="5"/>
        <v>548</v>
      </c>
      <c r="B163" s="530" t="s">
        <v>2314</v>
      </c>
      <c r="C163" s="491" t="s">
        <v>2315</v>
      </c>
      <c r="D163" s="360">
        <v>0</v>
      </c>
      <c r="E163" s="529"/>
      <c r="G163" s="360"/>
      <c r="H163" s="360"/>
    </row>
    <row r="164" spans="1:8" ht="11.25" customHeight="1">
      <c r="A164" s="359" t="str">
        <f t="shared" si="5"/>
        <v>548</v>
      </c>
      <c r="B164" s="530" t="s">
        <v>2316</v>
      </c>
      <c r="C164" s="491" t="s">
        <v>2317</v>
      </c>
      <c r="D164" s="360">
        <v>45000</v>
      </c>
      <c r="E164" s="529"/>
      <c r="G164" s="360"/>
      <c r="H164" s="360"/>
    </row>
    <row r="165" spans="1:8" ht="11.25" customHeight="1">
      <c r="A165" s="359" t="str">
        <f t="shared" si="5"/>
        <v>549</v>
      </c>
      <c r="B165" s="530" t="s">
        <v>2318</v>
      </c>
      <c r="C165" s="491" t="s">
        <v>2319</v>
      </c>
      <c r="D165" s="360">
        <v>11607.01</v>
      </c>
      <c r="E165" s="529"/>
      <c r="G165" s="360"/>
      <c r="H165" s="360"/>
    </row>
    <row r="166" spans="1:8" ht="11.25" customHeight="1">
      <c r="A166" s="359" t="str">
        <f t="shared" si="5"/>
        <v>549</v>
      </c>
      <c r="B166" s="530" t="s">
        <v>2320</v>
      </c>
      <c r="C166" s="491" t="s">
        <v>2321</v>
      </c>
      <c r="D166" s="360">
        <v>9315.34</v>
      </c>
      <c r="E166" s="529"/>
      <c r="G166" s="360"/>
      <c r="H166" s="360"/>
    </row>
    <row r="167" spans="1:8" ht="11.25" customHeight="1">
      <c r="A167" s="359" t="str">
        <f t="shared" si="5"/>
        <v>549</v>
      </c>
      <c r="B167" s="530" t="s">
        <v>2322</v>
      </c>
      <c r="C167" s="491" t="s">
        <v>2323</v>
      </c>
      <c r="D167" s="360">
        <v>-10000</v>
      </c>
      <c r="E167" s="529"/>
      <c r="G167" s="360"/>
      <c r="H167" s="360"/>
    </row>
    <row r="168" spans="1:8" ht="11.25" customHeight="1">
      <c r="A168" s="359" t="str">
        <f t="shared" si="5"/>
        <v>549</v>
      </c>
      <c r="B168" s="530" t="s">
        <v>2324</v>
      </c>
      <c r="C168" s="491" t="s">
        <v>2325</v>
      </c>
      <c r="D168" s="360">
        <v>1573.91</v>
      </c>
      <c r="E168" s="529"/>
      <c r="G168" s="360"/>
      <c r="H168" s="360"/>
    </row>
    <row r="169" spans="1:8" ht="11.25" customHeight="1">
      <c r="A169" s="359" t="str">
        <f t="shared" si="5"/>
        <v>549</v>
      </c>
      <c r="B169" s="530" t="s">
        <v>2326</v>
      </c>
      <c r="C169" s="491" t="s">
        <v>2327</v>
      </c>
      <c r="D169" s="360">
        <v>1171.33</v>
      </c>
      <c r="E169" s="529"/>
      <c r="G169" s="360"/>
      <c r="H169" s="360"/>
    </row>
    <row r="170" spans="1:8" ht="11.25" customHeight="1">
      <c r="A170" s="359" t="str">
        <f t="shared" si="5"/>
        <v>549</v>
      </c>
      <c r="B170" s="530" t="s">
        <v>2328</v>
      </c>
      <c r="C170" s="491" t="s">
        <v>2329</v>
      </c>
      <c r="D170" s="360">
        <v>-24.55</v>
      </c>
      <c r="E170" s="529"/>
      <c r="G170" s="360"/>
      <c r="H170" s="360"/>
    </row>
    <row r="171" spans="1:8" ht="11.25" customHeight="1">
      <c r="A171" s="359" t="str">
        <f t="shared" si="5"/>
        <v>549</v>
      </c>
      <c r="B171" s="530" t="s">
        <v>2330</v>
      </c>
      <c r="C171" s="491" t="s">
        <v>2331</v>
      </c>
      <c r="D171" s="360">
        <v>210.73</v>
      </c>
      <c r="E171" s="529"/>
      <c r="G171" s="360"/>
      <c r="H171" s="360"/>
    </row>
    <row r="172" spans="1:8" ht="11.25" customHeight="1">
      <c r="A172" s="359" t="str">
        <f t="shared" si="5"/>
        <v>549</v>
      </c>
      <c r="B172" s="530" t="s">
        <v>2332</v>
      </c>
      <c r="C172" s="491" t="s">
        <v>2333</v>
      </c>
      <c r="D172" s="360">
        <v>163.69999999999999</v>
      </c>
      <c r="E172" s="529"/>
      <c r="G172" s="360"/>
      <c r="H172" s="360"/>
    </row>
    <row r="173" spans="1:8" ht="11.25" customHeight="1">
      <c r="A173" s="359" t="str">
        <f t="shared" si="5"/>
        <v>549</v>
      </c>
      <c r="B173" s="530" t="s">
        <v>2334</v>
      </c>
      <c r="C173" s="491" t="s">
        <v>2335</v>
      </c>
      <c r="D173" s="360">
        <v>92.87</v>
      </c>
      <c r="E173" s="529"/>
      <c r="G173" s="360"/>
      <c r="H173" s="360"/>
    </row>
    <row r="174" spans="1:8" ht="11.25" customHeight="1">
      <c r="A174" s="359" t="str">
        <f t="shared" si="5"/>
        <v>551</v>
      </c>
      <c r="B174" s="530" t="s">
        <v>2336</v>
      </c>
      <c r="C174" s="491" t="s">
        <v>2337</v>
      </c>
      <c r="D174" s="360">
        <v>750</v>
      </c>
      <c r="E174" s="529"/>
      <c r="G174" s="360"/>
      <c r="H174" s="360"/>
    </row>
    <row r="175" spans="1:8" ht="11.25" customHeight="1">
      <c r="A175" s="359" t="str">
        <f t="shared" si="5"/>
        <v>551</v>
      </c>
      <c r="B175" s="530" t="s">
        <v>2338</v>
      </c>
      <c r="C175" s="491" t="s">
        <v>2339</v>
      </c>
      <c r="D175" s="360">
        <v>2264.2800000000002</v>
      </c>
      <c r="E175" s="529"/>
      <c r="G175" s="360"/>
      <c r="H175" s="360"/>
    </row>
    <row r="176" spans="1:8" ht="11.25" customHeight="1">
      <c r="A176" s="359" t="str">
        <f t="shared" si="5"/>
        <v>551</v>
      </c>
      <c r="B176" s="530" t="s">
        <v>2340</v>
      </c>
      <c r="C176" s="491" t="s">
        <v>2341</v>
      </c>
      <c r="D176" s="360">
        <v>873.75</v>
      </c>
      <c r="E176" s="529"/>
      <c r="G176" s="360"/>
      <c r="H176" s="360"/>
    </row>
    <row r="177" spans="1:16" ht="11.25" customHeight="1">
      <c r="A177" s="359" t="str">
        <f t="shared" si="5"/>
        <v>551</v>
      </c>
      <c r="B177" s="530" t="s">
        <v>2342</v>
      </c>
      <c r="C177" s="491" t="s">
        <v>2343</v>
      </c>
      <c r="D177" s="360">
        <v>297.33999999999997</v>
      </c>
      <c r="E177" s="529"/>
      <c r="G177" s="360"/>
      <c r="H177" s="360"/>
    </row>
    <row r="178" spans="1:16" ht="11.25" customHeight="1">
      <c r="A178" s="359" t="str">
        <f t="shared" si="5"/>
        <v>551</v>
      </c>
      <c r="B178" s="530" t="s">
        <v>2344</v>
      </c>
      <c r="C178" s="491" t="s">
        <v>2345</v>
      </c>
      <c r="D178" s="360">
        <v>99.48</v>
      </c>
      <c r="E178" s="529"/>
      <c r="G178" s="360"/>
      <c r="H178" s="360"/>
    </row>
    <row r="179" spans="1:16" ht="11.25" customHeight="1">
      <c r="A179" s="359" t="str">
        <f t="shared" si="5"/>
        <v>551</v>
      </c>
      <c r="B179" s="530" t="s">
        <v>2346</v>
      </c>
      <c r="C179" s="491" t="s">
        <v>2347</v>
      </c>
      <c r="D179" s="360">
        <v>237.48</v>
      </c>
      <c r="E179" s="529"/>
      <c r="G179" s="360"/>
      <c r="H179" s="360"/>
    </row>
    <row r="180" spans="1:16" ht="11.25" customHeight="1">
      <c r="A180" s="359" t="str">
        <f t="shared" si="5"/>
        <v>551</v>
      </c>
      <c r="B180" s="530" t="s">
        <v>2348</v>
      </c>
      <c r="C180" s="491" t="s">
        <v>2349</v>
      </c>
      <c r="D180" s="360">
        <v>982.17</v>
      </c>
      <c r="E180" s="529"/>
      <c r="G180" s="360"/>
      <c r="H180" s="360"/>
    </row>
    <row r="181" spans="1:16" ht="11.25" customHeight="1">
      <c r="A181" s="359" t="str">
        <f t="shared" si="5"/>
        <v>551</v>
      </c>
      <c r="B181" s="530" t="s">
        <v>2350</v>
      </c>
      <c r="C181" s="491" t="s">
        <v>2351</v>
      </c>
      <c r="D181" s="360">
        <v>56.36</v>
      </c>
      <c r="E181" s="529"/>
      <c r="G181" s="360"/>
      <c r="H181" s="360"/>
    </row>
    <row r="182" spans="1:16" ht="11.25" customHeight="1">
      <c r="A182" s="359" t="str">
        <f t="shared" si="5"/>
        <v>552</v>
      </c>
      <c r="B182" s="530" t="s">
        <v>2352</v>
      </c>
      <c r="C182" s="491" t="s">
        <v>2353</v>
      </c>
      <c r="D182" s="360">
        <v>3375</v>
      </c>
      <c r="E182" s="529"/>
      <c r="G182" s="360"/>
      <c r="H182" s="360"/>
    </row>
    <row r="183" spans="1:16" ht="11.25" customHeight="1">
      <c r="A183" s="359" t="str">
        <f t="shared" si="5"/>
        <v>552</v>
      </c>
      <c r="B183" s="530" t="s">
        <v>2354</v>
      </c>
      <c r="C183" s="491" t="s">
        <v>2355</v>
      </c>
      <c r="D183" s="360">
        <v>46751.73</v>
      </c>
      <c r="E183" s="529"/>
      <c r="G183" s="360"/>
      <c r="H183" s="360"/>
    </row>
    <row r="184" spans="1:16" ht="11.25" customHeight="1">
      <c r="A184" s="359" t="str">
        <f t="shared" si="5"/>
        <v>554</v>
      </c>
      <c r="B184" s="530" t="s">
        <v>2356</v>
      </c>
      <c r="C184" s="491" t="s">
        <v>2357</v>
      </c>
      <c r="D184" s="360">
        <v>211111.74</v>
      </c>
      <c r="E184" s="529"/>
      <c r="G184" s="360"/>
      <c r="H184" s="360"/>
    </row>
    <row r="185" spans="1:16" ht="11.25" customHeight="1">
      <c r="A185" s="359" t="str">
        <f t="shared" si="5"/>
        <v>554</v>
      </c>
      <c r="B185" s="530" t="s">
        <v>2358</v>
      </c>
      <c r="C185" s="491" t="s">
        <v>2359</v>
      </c>
      <c r="D185" s="360">
        <v>63805.440000000002</v>
      </c>
      <c r="E185" s="529"/>
      <c r="G185" s="360"/>
      <c r="H185" s="360"/>
    </row>
    <row r="186" spans="1:16" ht="11.25" customHeight="1">
      <c r="A186" s="359" t="str">
        <f t="shared" si="5"/>
        <v>554</v>
      </c>
      <c r="B186" s="530" t="s">
        <v>2360</v>
      </c>
      <c r="C186" s="491" t="s">
        <v>2361</v>
      </c>
      <c r="D186" s="360">
        <v>64290.26</v>
      </c>
      <c r="E186" s="529"/>
      <c r="G186" s="360"/>
      <c r="H186" s="360"/>
    </row>
    <row r="187" spans="1:16" ht="11.25" customHeight="1">
      <c r="A187" s="359" t="str">
        <f t="shared" si="5"/>
        <v>558</v>
      </c>
      <c r="B187" s="530" t="s">
        <v>2362</v>
      </c>
      <c r="C187" s="491" t="s">
        <v>2363</v>
      </c>
      <c r="D187" s="360">
        <v>0</v>
      </c>
      <c r="E187" s="529"/>
      <c r="G187" s="360"/>
      <c r="H187" s="360"/>
    </row>
    <row r="188" spans="1:16" ht="11.25" customHeight="1">
      <c r="A188" s="359" t="str">
        <f t="shared" si="5"/>
        <v>558</v>
      </c>
      <c r="B188" s="530" t="s">
        <v>2364</v>
      </c>
      <c r="C188" s="491" t="s">
        <v>2365</v>
      </c>
      <c r="D188" s="360">
        <v>-1353.89</v>
      </c>
      <c r="E188" s="529"/>
      <c r="G188" s="360"/>
      <c r="H188" s="360"/>
    </row>
    <row r="189" spans="1:16" ht="11.25" customHeight="1">
      <c r="A189" s="359" t="str">
        <f t="shared" si="5"/>
        <v>558</v>
      </c>
      <c r="B189" s="530" t="s">
        <v>2366</v>
      </c>
      <c r="C189" s="491" t="s">
        <v>2367</v>
      </c>
      <c r="D189" s="360">
        <v>1129.74</v>
      </c>
      <c r="E189" s="529"/>
      <c r="G189" s="360"/>
      <c r="H189" s="360"/>
    </row>
    <row r="190" spans="1:16" ht="11.25" customHeight="1">
      <c r="A190" s="359" t="str">
        <f t="shared" si="5"/>
        <v>591</v>
      </c>
      <c r="B190" s="530" t="s">
        <v>2368</v>
      </c>
      <c r="C190" s="491" t="s">
        <v>2369</v>
      </c>
      <c r="D190" s="360">
        <v>0</v>
      </c>
      <c r="E190" s="529"/>
      <c r="G190" s="360"/>
      <c r="H190" s="360"/>
    </row>
    <row r="191" spans="1:16" ht="11.25" customHeight="1">
      <c r="A191" s="359" t="str">
        <f t="shared" si="5"/>
        <v>602</v>
      </c>
      <c r="B191" s="530" t="s">
        <v>2370</v>
      </c>
      <c r="C191" s="491" t="s">
        <v>2371</v>
      </c>
      <c r="D191" s="360">
        <v>-17882.759999999998</v>
      </c>
      <c r="E191" s="529"/>
      <c r="G191" s="360"/>
      <c r="H191" s="360"/>
      <c r="O191" s="360">
        <f>+D191</f>
        <v>-17882.759999999998</v>
      </c>
      <c r="P191" s="360"/>
    </row>
    <row r="192" spans="1:16" ht="11.25" customHeight="1">
      <c r="A192" s="359" t="str">
        <f t="shared" si="5"/>
        <v>602</v>
      </c>
      <c r="B192" s="530" t="s">
        <v>2372</v>
      </c>
      <c r="C192" s="491" t="s">
        <v>2373</v>
      </c>
      <c r="D192" s="360">
        <v>0</v>
      </c>
      <c r="E192" s="529"/>
      <c r="G192" s="360"/>
      <c r="H192" s="360"/>
    </row>
    <row r="193" spans="1:14" ht="11.25" customHeight="1">
      <c r="A193" s="359" t="str">
        <f t="shared" si="5"/>
        <v>602</v>
      </c>
      <c r="B193" s="530" t="s">
        <v>2374</v>
      </c>
      <c r="C193" s="491" t="s">
        <v>2375</v>
      </c>
      <c r="D193" s="360">
        <v>-3793.5</v>
      </c>
      <c r="E193" s="529"/>
      <c r="G193" s="360"/>
      <c r="I193" s="360">
        <f>+D193</f>
        <v>-3793.5</v>
      </c>
      <c r="J193" s="360"/>
    </row>
    <row r="194" spans="1:14" ht="11.25" customHeight="1">
      <c r="A194" s="359" t="str">
        <f t="shared" si="5"/>
        <v>602</v>
      </c>
      <c r="B194" s="530" t="s">
        <v>2376</v>
      </c>
      <c r="C194" s="491" t="s">
        <v>2377</v>
      </c>
      <c r="D194" s="360">
        <v>-9249.07</v>
      </c>
      <c r="E194" s="529"/>
      <c r="G194" s="360"/>
      <c r="I194" s="360">
        <f t="shared" ref="I194:I202" si="6">+D194</f>
        <v>-9249.07</v>
      </c>
      <c r="J194" s="360"/>
    </row>
    <row r="195" spans="1:14" ht="11.25" customHeight="1">
      <c r="A195" s="359" t="str">
        <f t="shared" si="5"/>
        <v>602</v>
      </c>
      <c r="B195" s="530" t="s">
        <v>2378</v>
      </c>
      <c r="C195" s="491" t="s">
        <v>2379</v>
      </c>
      <c r="D195" s="360">
        <v>-19023.63</v>
      </c>
      <c r="E195" s="529"/>
      <c r="G195" s="360"/>
      <c r="I195" s="360">
        <f t="shared" si="6"/>
        <v>-19023.63</v>
      </c>
      <c r="J195" s="360"/>
    </row>
    <row r="196" spans="1:14" ht="11.25" customHeight="1">
      <c r="A196" s="359" t="str">
        <f t="shared" si="5"/>
        <v>602</v>
      </c>
      <c r="B196" s="530" t="s">
        <v>2380</v>
      </c>
      <c r="C196" s="491" t="s">
        <v>2381</v>
      </c>
      <c r="D196" s="360">
        <v>-5812.79</v>
      </c>
      <c r="E196" s="529"/>
      <c r="G196" s="360"/>
      <c r="I196" s="360">
        <f t="shared" si="6"/>
        <v>-5812.79</v>
      </c>
      <c r="J196" s="360"/>
    </row>
    <row r="197" spans="1:14" ht="11.25" customHeight="1">
      <c r="A197" s="359" t="str">
        <f t="shared" ref="A197:A260" si="7">LEFT(B197,3)</f>
        <v>602</v>
      </c>
      <c r="B197" s="530" t="s">
        <v>2382</v>
      </c>
      <c r="C197" s="491" t="s">
        <v>2383</v>
      </c>
      <c r="D197" s="360">
        <v>-10314.06</v>
      </c>
      <c r="E197" s="529"/>
      <c r="G197" s="360"/>
      <c r="I197" s="360">
        <f t="shared" si="6"/>
        <v>-10314.06</v>
      </c>
      <c r="J197" s="360"/>
    </row>
    <row r="198" spans="1:14" ht="11.25" customHeight="1">
      <c r="A198" s="359" t="str">
        <f t="shared" si="7"/>
        <v>602</v>
      </c>
      <c r="B198" s="530" t="s">
        <v>2384</v>
      </c>
      <c r="C198" s="491" t="s">
        <v>2385</v>
      </c>
      <c r="D198" s="360">
        <v>-1453.14</v>
      </c>
      <c r="E198" s="529"/>
      <c r="G198" s="360"/>
      <c r="I198" s="360">
        <f t="shared" si="6"/>
        <v>-1453.14</v>
      </c>
      <c r="J198" s="360"/>
    </row>
    <row r="199" spans="1:14" ht="11.25" customHeight="1">
      <c r="A199" s="359" t="str">
        <f t="shared" si="7"/>
        <v>602</v>
      </c>
      <c r="B199" s="530" t="s">
        <v>2386</v>
      </c>
      <c r="C199" s="491" t="s">
        <v>2387</v>
      </c>
      <c r="D199" s="360">
        <v>-2201.6999999999998</v>
      </c>
      <c r="E199" s="529"/>
      <c r="G199" s="360"/>
      <c r="I199" s="360">
        <f t="shared" si="6"/>
        <v>-2201.6999999999998</v>
      </c>
      <c r="J199" s="360"/>
    </row>
    <row r="200" spans="1:14" ht="11.25" customHeight="1">
      <c r="A200" s="359" t="str">
        <f t="shared" si="7"/>
        <v>602</v>
      </c>
      <c r="B200" s="530" t="s">
        <v>2388</v>
      </c>
      <c r="C200" s="491" t="s">
        <v>2389</v>
      </c>
      <c r="D200" s="360">
        <v>-1926.54</v>
      </c>
      <c r="E200" s="529"/>
      <c r="G200" s="360"/>
      <c r="I200" s="360">
        <f t="shared" si="6"/>
        <v>-1926.54</v>
      </c>
      <c r="J200" s="360"/>
    </row>
    <row r="201" spans="1:14" ht="11.25" customHeight="1">
      <c r="A201" s="359" t="str">
        <f t="shared" si="7"/>
        <v>602</v>
      </c>
      <c r="B201" s="530" t="s">
        <v>2390</v>
      </c>
      <c r="C201" s="491" t="s">
        <v>2391</v>
      </c>
      <c r="D201" s="360">
        <v>-400</v>
      </c>
      <c r="E201" s="529"/>
      <c r="G201" s="360"/>
      <c r="I201" s="360">
        <f t="shared" si="6"/>
        <v>-400</v>
      </c>
      <c r="J201" s="360"/>
    </row>
    <row r="202" spans="1:14" ht="11.25" customHeight="1">
      <c r="A202" s="359" t="str">
        <f t="shared" si="7"/>
        <v>602</v>
      </c>
      <c r="B202" s="530" t="s">
        <v>2392</v>
      </c>
      <c r="C202" s="491" t="s">
        <v>2393</v>
      </c>
      <c r="D202" s="360">
        <v>0</v>
      </c>
      <c r="E202" s="529"/>
      <c r="G202" s="360"/>
      <c r="I202" s="360">
        <f t="shared" si="6"/>
        <v>0</v>
      </c>
      <c r="J202" s="360"/>
    </row>
    <row r="203" spans="1:14" ht="11.25" customHeight="1">
      <c r="A203" s="359" t="str">
        <f t="shared" si="7"/>
        <v>602</v>
      </c>
      <c r="B203" s="530" t="s">
        <v>2394</v>
      </c>
      <c r="C203" s="491" t="s">
        <v>2395</v>
      </c>
      <c r="D203" s="360">
        <v>-1731359.07</v>
      </c>
      <c r="E203" s="529"/>
      <c r="G203" s="360"/>
      <c r="H203" s="360">
        <f>+D203</f>
        <v>-1731359.07</v>
      </c>
      <c r="I203" s="360"/>
      <c r="J203" s="360"/>
    </row>
    <row r="204" spans="1:14" ht="11.25" customHeight="1">
      <c r="A204" s="359" t="str">
        <f t="shared" si="7"/>
        <v>602</v>
      </c>
      <c r="B204" s="530" t="s">
        <v>2396</v>
      </c>
      <c r="C204" s="491" t="s">
        <v>2397</v>
      </c>
      <c r="D204" s="360">
        <v>-29513</v>
      </c>
      <c r="E204" s="529"/>
      <c r="G204" s="360"/>
      <c r="H204" s="360">
        <f t="shared" ref="H204:H244" si="8">+D204</f>
        <v>-29513</v>
      </c>
      <c r="K204" s="360"/>
      <c r="L204" s="360"/>
    </row>
    <row r="205" spans="1:14" ht="11.25" customHeight="1">
      <c r="A205" s="359" t="str">
        <f t="shared" si="7"/>
        <v>602</v>
      </c>
      <c r="B205" s="530" t="s">
        <v>2398</v>
      </c>
      <c r="C205" s="491" t="s">
        <v>2399</v>
      </c>
      <c r="D205" s="360">
        <v>-39318.519999999997</v>
      </c>
      <c r="E205" s="529"/>
      <c r="G205" s="360"/>
      <c r="H205" s="360">
        <f t="shared" si="8"/>
        <v>-39318.519999999997</v>
      </c>
      <c r="I205" s="360"/>
      <c r="J205" s="360"/>
      <c r="K205" s="360"/>
      <c r="L205" s="360"/>
    </row>
    <row r="206" spans="1:14" ht="11.25" customHeight="1">
      <c r="A206" s="359" t="str">
        <f t="shared" si="7"/>
        <v>602</v>
      </c>
      <c r="B206" s="530" t="s">
        <v>2400</v>
      </c>
      <c r="C206" s="491" t="s">
        <v>2401</v>
      </c>
      <c r="D206" s="360">
        <v>-37606.639999999999</v>
      </c>
      <c r="E206" s="529"/>
      <c r="G206" s="360"/>
      <c r="H206" s="360">
        <f t="shared" si="8"/>
        <v>-37606.639999999999</v>
      </c>
      <c r="M206" s="360"/>
      <c r="N206" s="360"/>
    </row>
    <row r="207" spans="1:14" ht="11.25" customHeight="1">
      <c r="A207" s="359" t="str">
        <f t="shared" si="7"/>
        <v>602</v>
      </c>
      <c r="B207" s="530" t="s">
        <v>2402</v>
      </c>
      <c r="C207" s="491" t="s">
        <v>2403</v>
      </c>
      <c r="D207" s="360">
        <v>-272049.89</v>
      </c>
      <c r="E207" s="529"/>
      <c r="G207" s="360"/>
      <c r="H207" s="360">
        <f t="shared" si="8"/>
        <v>-272049.89</v>
      </c>
      <c r="M207" s="360"/>
      <c r="N207" s="360"/>
    </row>
    <row r="208" spans="1:14" ht="11.25" customHeight="1">
      <c r="A208" s="359" t="str">
        <f t="shared" si="7"/>
        <v>602</v>
      </c>
      <c r="B208" s="530" t="s">
        <v>2404</v>
      </c>
      <c r="C208" s="491" t="s">
        <v>2405</v>
      </c>
      <c r="D208" s="360">
        <v>-380170.78</v>
      </c>
      <c r="E208" s="529"/>
      <c r="G208" s="360"/>
      <c r="H208" s="360">
        <f t="shared" si="8"/>
        <v>-380170.78</v>
      </c>
      <c r="M208" s="360"/>
      <c r="N208" s="360"/>
    </row>
    <row r="209" spans="1:14" ht="11.25" customHeight="1">
      <c r="A209" s="359" t="str">
        <f t="shared" si="7"/>
        <v>602</v>
      </c>
      <c r="B209" s="530" t="s">
        <v>2406</v>
      </c>
      <c r="C209" s="491" t="s">
        <v>2407</v>
      </c>
      <c r="D209" s="360">
        <v>-49724</v>
      </c>
      <c r="E209" s="529"/>
      <c r="G209" s="360"/>
      <c r="H209" s="360">
        <f t="shared" si="8"/>
        <v>-49724</v>
      </c>
      <c r="M209" s="360"/>
      <c r="N209" s="360"/>
    </row>
    <row r="210" spans="1:14" ht="11.25" customHeight="1">
      <c r="A210" s="359" t="str">
        <f t="shared" si="7"/>
        <v>602</v>
      </c>
      <c r="B210" s="530" t="s">
        <v>2408</v>
      </c>
      <c r="C210" s="491" t="s">
        <v>2409</v>
      </c>
      <c r="D210" s="360">
        <v>-5282.92</v>
      </c>
      <c r="E210" s="526"/>
      <c r="G210" s="360"/>
      <c r="H210" s="360">
        <f t="shared" si="8"/>
        <v>-5282.92</v>
      </c>
      <c r="M210" s="360"/>
      <c r="N210" s="360"/>
    </row>
    <row r="211" spans="1:14" ht="11.25" customHeight="1">
      <c r="A211" s="359" t="str">
        <f t="shared" si="7"/>
        <v>602</v>
      </c>
      <c r="B211" s="530" t="s">
        <v>2410</v>
      </c>
      <c r="C211" s="491" t="s">
        <v>2411</v>
      </c>
      <c r="D211" s="360">
        <v>-67771.42</v>
      </c>
      <c r="E211" s="526"/>
      <c r="G211" s="360"/>
      <c r="H211" s="360">
        <f t="shared" si="8"/>
        <v>-67771.42</v>
      </c>
      <c r="M211" s="360"/>
      <c r="N211" s="360"/>
    </row>
    <row r="212" spans="1:14" ht="11.25" customHeight="1">
      <c r="A212" s="359" t="str">
        <f t="shared" si="7"/>
        <v>602</v>
      </c>
      <c r="B212" s="530" t="s">
        <v>2412</v>
      </c>
      <c r="C212" s="491" t="s">
        <v>2413</v>
      </c>
      <c r="D212" s="360">
        <v>-112086.12</v>
      </c>
      <c r="E212" s="526"/>
      <c r="G212" s="360"/>
      <c r="H212" s="360">
        <f t="shared" si="8"/>
        <v>-112086.12</v>
      </c>
      <c r="M212" s="360"/>
      <c r="N212" s="360"/>
    </row>
    <row r="213" spans="1:14" ht="11.25" customHeight="1">
      <c r="A213" s="359" t="str">
        <f t="shared" si="7"/>
        <v>602</v>
      </c>
      <c r="B213" s="530" t="s">
        <v>2414</v>
      </c>
      <c r="C213" s="491" t="s">
        <v>2415</v>
      </c>
      <c r="D213" s="360">
        <v>0</v>
      </c>
      <c r="E213" s="526"/>
      <c r="G213" s="360"/>
      <c r="H213" s="360">
        <f t="shared" si="8"/>
        <v>0</v>
      </c>
      <c r="M213" s="360"/>
      <c r="N213" s="360"/>
    </row>
    <row r="214" spans="1:14" ht="11.25" customHeight="1">
      <c r="A214" s="359" t="str">
        <f t="shared" si="7"/>
        <v>602</v>
      </c>
      <c r="B214" s="530" t="s">
        <v>2416</v>
      </c>
      <c r="C214" s="491" t="s">
        <v>2417</v>
      </c>
      <c r="D214" s="360">
        <v>-430328.44</v>
      </c>
      <c r="E214" s="526"/>
      <c r="G214" s="360"/>
      <c r="H214" s="360">
        <f t="shared" si="8"/>
        <v>-430328.44</v>
      </c>
      <c r="M214" s="360"/>
      <c r="N214" s="360"/>
    </row>
    <row r="215" spans="1:14" ht="11.25" customHeight="1">
      <c r="A215" s="359" t="str">
        <f t="shared" si="7"/>
        <v>602</v>
      </c>
      <c r="B215" s="530" t="s">
        <v>2418</v>
      </c>
      <c r="C215" s="491" t="s">
        <v>2419</v>
      </c>
      <c r="D215" s="360">
        <v>-1351.5</v>
      </c>
      <c r="E215" s="526"/>
      <c r="G215" s="360"/>
      <c r="H215" s="360">
        <f t="shared" si="8"/>
        <v>-1351.5</v>
      </c>
      <c r="M215" s="360"/>
      <c r="N215" s="360"/>
    </row>
    <row r="216" spans="1:14" ht="11.25" customHeight="1">
      <c r="A216" s="359" t="str">
        <f t="shared" si="7"/>
        <v>602</v>
      </c>
      <c r="B216" s="530" t="s">
        <v>2420</v>
      </c>
      <c r="C216" s="491" t="s">
        <v>2421</v>
      </c>
      <c r="D216" s="360">
        <v>0</v>
      </c>
      <c r="E216" s="526"/>
      <c r="G216" s="360"/>
      <c r="H216" s="360">
        <f t="shared" si="8"/>
        <v>0</v>
      </c>
      <c r="M216" s="360"/>
      <c r="N216" s="360"/>
    </row>
    <row r="217" spans="1:14" ht="11.25" customHeight="1">
      <c r="A217" s="359" t="str">
        <f t="shared" si="7"/>
        <v>602</v>
      </c>
      <c r="B217" s="530" t="s">
        <v>2422</v>
      </c>
      <c r="C217" s="491" t="s">
        <v>2423</v>
      </c>
      <c r="D217" s="360">
        <v>-899107.15</v>
      </c>
      <c r="E217" s="526"/>
      <c r="G217" s="360"/>
      <c r="H217" s="360">
        <f t="shared" si="8"/>
        <v>-899107.15</v>
      </c>
      <c r="M217" s="360"/>
      <c r="N217" s="360"/>
    </row>
    <row r="218" spans="1:14" ht="11.25" customHeight="1">
      <c r="A218" s="359" t="str">
        <f t="shared" si="7"/>
        <v>602</v>
      </c>
      <c r="B218" s="530" t="s">
        <v>2424</v>
      </c>
      <c r="C218" s="491" t="s">
        <v>2425</v>
      </c>
      <c r="D218" s="360">
        <v>-89998</v>
      </c>
      <c r="E218" s="526"/>
      <c r="G218" s="360"/>
      <c r="H218" s="360">
        <f t="shared" si="8"/>
        <v>-89998</v>
      </c>
      <c r="M218" s="360"/>
      <c r="N218" s="360"/>
    </row>
    <row r="219" spans="1:14" ht="11.25" customHeight="1">
      <c r="A219" s="359" t="str">
        <f t="shared" si="7"/>
        <v>602</v>
      </c>
      <c r="B219" s="530" t="s">
        <v>2426</v>
      </c>
      <c r="C219" s="491" t="s">
        <v>2427</v>
      </c>
      <c r="D219" s="360">
        <v>-17556</v>
      </c>
      <c r="E219" s="526"/>
      <c r="G219" s="360"/>
      <c r="H219" s="360">
        <f t="shared" si="8"/>
        <v>-17556</v>
      </c>
      <c r="M219" s="360"/>
      <c r="N219" s="360"/>
    </row>
    <row r="220" spans="1:14" ht="11.25" customHeight="1">
      <c r="A220" s="359" t="str">
        <f t="shared" si="7"/>
        <v>602</v>
      </c>
      <c r="B220" s="530" t="s">
        <v>2428</v>
      </c>
      <c r="C220" s="491" t="s">
        <v>2429</v>
      </c>
      <c r="D220" s="360">
        <v>-17571.48</v>
      </c>
      <c r="E220" s="526"/>
      <c r="G220" s="360"/>
      <c r="H220" s="360">
        <f t="shared" si="8"/>
        <v>-17571.48</v>
      </c>
      <c r="M220" s="360"/>
      <c r="N220" s="360"/>
    </row>
    <row r="221" spans="1:14" ht="11.25" customHeight="1">
      <c r="A221" s="359" t="str">
        <f t="shared" si="7"/>
        <v>602</v>
      </c>
      <c r="B221" s="530" t="s">
        <v>2430</v>
      </c>
      <c r="C221" s="491" t="s">
        <v>2431</v>
      </c>
      <c r="D221" s="360">
        <v>-149621.35999999999</v>
      </c>
      <c r="E221" s="526"/>
      <c r="G221" s="360"/>
      <c r="H221" s="360">
        <f t="shared" si="8"/>
        <v>-149621.35999999999</v>
      </c>
      <c r="M221" s="360"/>
      <c r="N221" s="360"/>
    </row>
    <row r="222" spans="1:14" ht="11.25" customHeight="1">
      <c r="A222" s="359" t="str">
        <f t="shared" si="7"/>
        <v>602</v>
      </c>
      <c r="B222" s="530" t="s">
        <v>2432</v>
      </c>
      <c r="C222" s="491" t="s">
        <v>2433</v>
      </c>
      <c r="D222" s="360">
        <v>-185608.25</v>
      </c>
      <c r="E222" s="526"/>
      <c r="G222" s="360"/>
      <c r="H222" s="360">
        <f t="shared" si="8"/>
        <v>-185608.25</v>
      </c>
      <c r="M222" s="360"/>
      <c r="N222" s="360"/>
    </row>
    <row r="223" spans="1:14" ht="11.25" customHeight="1">
      <c r="A223" s="359" t="str">
        <f t="shared" si="7"/>
        <v>602</v>
      </c>
      <c r="B223" s="530" t="s">
        <v>2434</v>
      </c>
      <c r="C223" s="491" t="s">
        <v>2435</v>
      </c>
      <c r="D223" s="360">
        <v>0</v>
      </c>
      <c r="E223" s="526"/>
      <c r="G223" s="360"/>
      <c r="H223" s="360">
        <f t="shared" si="8"/>
        <v>0</v>
      </c>
      <c r="M223" s="360"/>
      <c r="N223" s="360"/>
    </row>
    <row r="224" spans="1:14" ht="11.25" customHeight="1">
      <c r="A224" s="359" t="str">
        <f t="shared" si="7"/>
        <v>602</v>
      </c>
      <c r="B224" s="530" t="s">
        <v>2436</v>
      </c>
      <c r="C224" s="491" t="s">
        <v>2437</v>
      </c>
      <c r="D224" s="360">
        <v>-3188.18</v>
      </c>
      <c r="E224" s="526"/>
      <c r="G224" s="360"/>
      <c r="H224" s="360">
        <f t="shared" si="8"/>
        <v>-3188.18</v>
      </c>
      <c r="M224" s="360"/>
      <c r="N224" s="360"/>
    </row>
    <row r="225" spans="1:14" ht="11.25" customHeight="1">
      <c r="A225" s="359" t="str">
        <f t="shared" si="7"/>
        <v>602</v>
      </c>
      <c r="B225" s="530" t="s">
        <v>2438</v>
      </c>
      <c r="C225" s="491" t="s">
        <v>2439</v>
      </c>
      <c r="D225" s="360">
        <v>-88909.99</v>
      </c>
      <c r="E225" s="526"/>
      <c r="G225" s="360"/>
      <c r="H225" s="360">
        <f t="shared" si="8"/>
        <v>-88909.99</v>
      </c>
      <c r="M225" s="360"/>
      <c r="N225" s="360"/>
    </row>
    <row r="226" spans="1:14" ht="11.25" customHeight="1">
      <c r="A226" s="359" t="str">
        <f t="shared" si="7"/>
        <v>602</v>
      </c>
      <c r="B226" s="530" t="s">
        <v>2440</v>
      </c>
      <c r="C226" s="491" t="s">
        <v>2441</v>
      </c>
      <c r="D226" s="360">
        <v>-48533.3</v>
      </c>
      <c r="E226" s="526"/>
      <c r="G226" s="360"/>
      <c r="H226" s="360">
        <f t="shared" si="8"/>
        <v>-48533.3</v>
      </c>
      <c r="M226" s="360"/>
      <c r="N226" s="360"/>
    </row>
    <row r="227" spans="1:14" ht="11.25" customHeight="1">
      <c r="A227" s="359" t="str">
        <f t="shared" si="7"/>
        <v>602</v>
      </c>
      <c r="B227" s="530" t="s">
        <v>2442</v>
      </c>
      <c r="C227" s="491" t="s">
        <v>2443</v>
      </c>
      <c r="D227" s="360">
        <v>-105751.38</v>
      </c>
      <c r="E227" s="526"/>
      <c r="G227" s="360"/>
      <c r="H227" s="360">
        <f t="shared" si="8"/>
        <v>-105751.38</v>
      </c>
      <c r="M227" s="360"/>
      <c r="N227" s="360"/>
    </row>
    <row r="228" spans="1:14" ht="11.25" customHeight="1">
      <c r="A228" s="359" t="str">
        <f t="shared" si="7"/>
        <v>602</v>
      </c>
      <c r="B228" s="530" t="s">
        <v>2444</v>
      </c>
      <c r="C228" s="491" t="s">
        <v>2445</v>
      </c>
      <c r="D228" s="360">
        <v>-10.96</v>
      </c>
      <c r="E228" s="526"/>
      <c r="G228" s="360"/>
      <c r="H228" s="360">
        <f t="shared" si="8"/>
        <v>-10.96</v>
      </c>
      <c r="M228" s="360"/>
      <c r="N228" s="360"/>
    </row>
    <row r="229" spans="1:14" ht="11.25" customHeight="1">
      <c r="A229" s="359" t="str">
        <f t="shared" si="7"/>
        <v>602</v>
      </c>
      <c r="B229" s="530" t="s">
        <v>2446</v>
      </c>
      <c r="C229" s="491" t="s">
        <v>2447</v>
      </c>
      <c r="D229" s="360">
        <v>-1510.18</v>
      </c>
      <c r="E229" s="526"/>
      <c r="G229" s="360"/>
      <c r="H229" s="360">
        <f t="shared" si="8"/>
        <v>-1510.18</v>
      </c>
      <c r="M229" s="360"/>
      <c r="N229" s="360"/>
    </row>
    <row r="230" spans="1:14" ht="11.25" customHeight="1">
      <c r="A230" s="359" t="str">
        <f t="shared" si="7"/>
        <v>602</v>
      </c>
      <c r="B230" s="530" t="s">
        <v>2448</v>
      </c>
      <c r="C230" s="491" t="s">
        <v>2449</v>
      </c>
      <c r="D230" s="360">
        <v>-1611.63</v>
      </c>
      <c r="E230" s="526"/>
      <c r="G230" s="360"/>
      <c r="H230" s="360">
        <f t="shared" si="8"/>
        <v>-1611.63</v>
      </c>
      <c r="M230" s="360"/>
      <c r="N230" s="360"/>
    </row>
    <row r="231" spans="1:14" ht="11.25" customHeight="1">
      <c r="A231" s="359" t="str">
        <f t="shared" si="7"/>
        <v>602</v>
      </c>
      <c r="B231" s="530" t="s">
        <v>2450</v>
      </c>
      <c r="C231" s="491" t="s">
        <v>2451</v>
      </c>
      <c r="D231" s="360">
        <v>-273399.71999999997</v>
      </c>
      <c r="E231" s="526"/>
      <c r="G231" s="360"/>
      <c r="H231" s="360">
        <f t="shared" si="8"/>
        <v>-273399.71999999997</v>
      </c>
      <c r="M231" s="360"/>
      <c r="N231" s="360"/>
    </row>
    <row r="232" spans="1:14" ht="11.25" customHeight="1">
      <c r="A232" s="359" t="str">
        <f t="shared" si="7"/>
        <v>602</v>
      </c>
      <c r="B232" s="530" t="s">
        <v>2452</v>
      </c>
      <c r="C232" s="491" t="s">
        <v>2453</v>
      </c>
      <c r="D232" s="360">
        <v>-29262</v>
      </c>
      <c r="E232" s="526"/>
      <c r="G232" s="360"/>
      <c r="H232" s="360">
        <f t="shared" si="8"/>
        <v>-29262</v>
      </c>
      <c r="M232" s="360"/>
      <c r="N232" s="360"/>
    </row>
    <row r="233" spans="1:14" ht="11.25" customHeight="1">
      <c r="A233" s="359" t="str">
        <f t="shared" si="7"/>
        <v>602</v>
      </c>
      <c r="B233" s="530" t="s">
        <v>2454</v>
      </c>
      <c r="C233" s="491" t="s">
        <v>2455</v>
      </c>
      <c r="D233" s="360">
        <v>-5305.2</v>
      </c>
      <c r="E233" s="526"/>
      <c r="G233" s="360"/>
      <c r="H233" s="360">
        <f t="shared" si="8"/>
        <v>-5305.2</v>
      </c>
      <c r="M233" s="360"/>
      <c r="N233" s="360"/>
    </row>
    <row r="234" spans="1:14" ht="11.25" customHeight="1">
      <c r="A234" s="359" t="str">
        <f t="shared" si="7"/>
        <v>602</v>
      </c>
      <c r="B234" s="530" t="s">
        <v>2456</v>
      </c>
      <c r="C234" s="491" t="s">
        <v>2457</v>
      </c>
      <c r="D234" s="360">
        <v>-2549.7399999999998</v>
      </c>
      <c r="E234" s="526"/>
      <c r="G234" s="360"/>
      <c r="H234" s="360">
        <f t="shared" si="8"/>
        <v>-2549.7399999999998</v>
      </c>
      <c r="M234" s="360"/>
      <c r="N234" s="360"/>
    </row>
    <row r="235" spans="1:14" ht="11.25" customHeight="1">
      <c r="A235" s="359" t="str">
        <f t="shared" si="7"/>
        <v>602</v>
      </c>
      <c r="B235" s="530" t="s">
        <v>2458</v>
      </c>
      <c r="C235" s="491" t="s">
        <v>2459</v>
      </c>
      <c r="D235" s="360">
        <v>-45961.45</v>
      </c>
      <c r="E235" s="526"/>
      <c r="G235" s="360"/>
      <c r="H235" s="360">
        <f t="shared" si="8"/>
        <v>-45961.45</v>
      </c>
      <c r="M235" s="360"/>
      <c r="N235" s="360"/>
    </row>
    <row r="236" spans="1:14" ht="11.25" customHeight="1">
      <c r="A236" s="359" t="str">
        <f t="shared" si="7"/>
        <v>602</v>
      </c>
      <c r="B236" s="530" t="s">
        <v>2460</v>
      </c>
      <c r="C236" s="491" t="s">
        <v>2461</v>
      </c>
      <c r="D236" s="360">
        <v>-55453.93</v>
      </c>
      <c r="E236" s="526"/>
      <c r="G236" s="360"/>
      <c r="H236" s="360">
        <f t="shared" si="8"/>
        <v>-55453.93</v>
      </c>
      <c r="M236" s="360"/>
      <c r="N236" s="360"/>
    </row>
    <row r="237" spans="1:14" ht="11.25" customHeight="1">
      <c r="A237" s="359" t="str">
        <f t="shared" si="7"/>
        <v>602</v>
      </c>
      <c r="B237" s="530" t="s">
        <v>2462</v>
      </c>
      <c r="C237" s="491" t="s">
        <v>2463</v>
      </c>
      <c r="D237" s="360">
        <v>-200</v>
      </c>
      <c r="E237" s="526"/>
      <c r="G237" s="360"/>
      <c r="H237" s="360">
        <f t="shared" si="8"/>
        <v>-200</v>
      </c>
      <c r="M237" s="360"/>
      <c r="N237" s="360"/>
    </row>
    <row r="238" spans="1:14" ht="11.25" customHeight="1">
      <c r="A238" s="359" t="str">
        <f t="shared" si="7"/>
        <v>602</v>
      </c>
      <c r="B238" s="530" t="s">
        <v>2464</v>
      </c>
      <c r="C238" s="491" t="s">
        <v>2465</v>
      </c>
      <c r="D238" s="360">
        <v>-1121.5999999999999</v>
      </c>
      <c r="E238" s="526"/>
      <c r="G238" s="360"/>
      <c r="H238" s="360">
        <f t="shared" si="8"/>
        <v>-1121.5999999999999</v>
      </c>
      <c r="M238" s="360"/>
      <c r="N238" s="360"/>
    </row>
    <row r="239" spans="1:14" ht="11.25" customHeight="1">
      <c r="A239" s="359" t="str">
        <f t="shared" si="7"/>
        <v>602</v>
      </c>
      <c r="B239" s="530" t="s">
        <v>2466</v>
      </c>
      <c r="C239" s="491" t="s">
        <v>2467</v>
      </c>
      <c r="D239" s="360">
        <v>-4229.18</v>
      </c>
      <c r="E239" s="526"/>
      <c r="G239" s="360"/>
      <c r="H239" s="360">
        <f t="shared" si="8"/>
        <v>-4229.18</v>
      </c>
      <c r="M239" s="360"/>
      <c r="N239" s="360"/>
    </row>
    <row r="240" spans="1:14" ht="11.25" customHeight="1">
      <c r="A240" s="359" t="str">
        <f t="shared" si="7"/>
        <v>602</v>
      </c>
      <c r="B240" s="530" t="s">
        <v>2468</v>
      </c>
      <c r="C240" s="491" t="s">
        <v>2469</v>
      </c>
      <c r="D240" s="360">
        <v>-3535.7</v>
      </c>
      <c r="E240" s="526"/>
      <c r="G240" s="360"/>
      <c r="H240" s="360">
        <f t="shared" si="8"/>
        <v>-3535.7</v>
      </c>
      <c r="M240" s="360"/>
      <c r="N240" s="360"/>
    </row>
    <row r="241" spans="1:16" ht="11.25" customHeight="1">
      <c r="A241" s="359" t="str">
        <f t="shared" si="7"/>
        <v>602</v>
      </c>
      <c r="B241" s="530" t="s">
        <v>2470</v>
      </c>
      <c r="C241" s="491" t="s">
        <v>2471</v>
      </c>
      <c r="D241" s="360">
        <v>-1405.5</v>
      </c>
      <c r="E241" s="526"/>
      <c r="G241" s="360"/>
      <c r="H241" s="360">
        <f t="shared" si="8"/>
        <v>-1405.5</v>
      </c>
      <c r="M241" s="360"/>
      <c r="N241" s="360"/>
    </row>
    <row r="242" spans="1:16" ht="11.25" customHeight="1">
      <c r="A242" s="359" t="str">
        <f t="shared" si="7"/>
        <v>602</v>
      </c>
      <c r="B242" s="530" t="s">
        <v>2472</v>
      </c>
      <c r="C242" s="491" t="s">
        <v>2473</v>
      </c>
      <c r="D242" s="360">
        <v>-29862.66</v>
      </c>
      <c r="E242" s="526"/>
      <c r="G242" s="360"/>
      <c r="H242" s="360">
        <f t="shared" si="8"/>
        <v>-29862.66</v>
      </c>
      <c r="M242" s="360"/>
      <c r="N242" s="360"/>
    </row>
    <row r="243" spans="1:16" ht="11.25" customHeight="1">
      <c r="A243" s="359" t="str">
        <f t="shared" si="7"/>
        <v>602</v>
      </c>
      <c r="B243" s="530" t="s">
        <v>2474</v>
      </c>
      <c r="C243" s="491" t="s">
        <v>2475</v>
      </c>
      <c r="D243" s="360">
        <v>-462.53</v>
      </c>
      <c r="E243" s="526"/>
      <c r="G243" s="360"/>
      <c r="H243" s="360">
        <f t="shared" si="8"/>
        <v>-462.53</v>
      </c>
      <c r="M243" s="360"/>
      <c r="N243" s="360"/>
    </row>
    <row r="244" spans="1:16" ht="11.25" customHeight="1">
      <c r="A244" s="359" t="str">
        <f t="shared" si="7"/>
        <v>602</v>
      </c>
      <c r="B244" s="530" t="s">
        <v>2476</v>
      </c>
      <c r="C244" s="491" t="s">
        <v>2477</v>
      </c>
      <c r="D244" s="360">
        <v>2530.1999999999998</v>
      </c>
      <c r="E244" s="526"/>
      <c r="G244" s="360"/>
      <c r="H244" s="360">
        <f t="shared" si="8"/>
        <v>2530.1999999999998</v>
      </c>
      <c r="M244" s="360"/>
      <c r="N244" s="360"/>
    </row>
    <row r="245" spans="1:16" ht="11.25" customHeight="1">
      <c r="A245" s="359" t="str">
        <f t="shared" si="7"/>
        <v>602</v>
      </c>
      <c r="B245" s="530" t="s">
        <v>2478</v>
      </c>
      <c r="C245" s="491" t="s">
        <v>2479</v>
      </c>
      <c r="D245" s="360">
        <v>-3925.12</v>
      </c>
      <c r="E245" s="526"/>
      <c r="G245" s="360"/>
      <c r="M245" s="360"/>
      <c r="N245" s="360"/>
      <c r="O245" s="360"/>
      <c r="P245" s="360">
        <f>+D245</f>
        <v>-3925.12</v>
      </c>
    </row>
    <row r="246" spans="1:16" ht="11.25" customHeight="1">
      <c r="A246" s="359" t="str">
        <f t="shared" si="7"/>
        <v>602</v>
      </c>
      <c r="B246" s="530" t="s">
        <v>2480</v>
      </c>
      <c r="C246" s="491" t="s">
        <v>2481</v>
      </c>
      <c r="D246" s="360">
        <v>-1902.68</v>
      </c>
      <c r="E246" s="526"/>
      <c r="G246" s="360"/>
      <c r="M246" s="360"/>
      <c r="N246" s="360">
        <f>+D246</f>
        <v>-1902.68</v>
      </c>
    </row>
    <row r="247" spans="1:16" ht="11.25" customHeight="1">
      <c r="A247" s="359" t="str">
        <f t="shared" si="7"/>
        <v>602</v>
      </c>
      <c r="B247" s="530" t="s">
        <v>2482</v>
      </c>
      <c r="C247" s="491" t="s">
        <v>2483</v>
      </c>
      <c r="D247" s="360">
        <v>-348.21</v>
      </c>
      <c r="E247" s="526"/>
      <c r="G247" s="360"/>
      <c r="M247" s="360"/>
      <c r="N247" s="360">
        <f t="shared" ref="N247:N255" si="9">+D247</f>
        <v>-348.21</v>
      </c>
    </row>
    <row r="248" spans="1:16" ht="11.25" customHeight="1">
      <c r="A248" s="359" t="str">
        <f t="shared" si="7"/>
        <v>602</v>
      </c>
      <c r="B248" s="530" t="s">
        <v>2484</v>
      </c>
      <c r="C248" s="491" t="s">
        <v>2485</v>
      </c>
      <c r="D248" s="360">
        <v>-229553.76</v>
      </c>
      <c r="E248" s="526"/>
      <c r="G248" s="360"/>
      <c r="M248" s="360"/>
      <c r="N248" s="360">
        <f t="shared" si="9"/>
        <v>-229553.76</v>
      </c>
    </row>
    <row r="249" spans="1:16" ht="11.25" customHeight="1">
      <c r="A249" s="359" t="str">
        <f t="shared" si="7"/>
        <v>602</v>
      </c>
      <c r="B249" s="530" t="s">
        <v>2486</v>
      </c>
      <c r="C249" s="491" t="s">
        <v>2487</v>
      </c>
      <c r="D249" s="360">
        <v>-22480.18</v>
      </c>
      <c r="E249" s="526"/>
      <c r="G249" s="360"/>
      <c r="M249" s="360"/>
      <c r="N249" s="360">
        <f t="shared" si="9"/>
        <v>-22480.18</v>
      </c>
    </row>
    <row r="250" spans="1:16" ht="11.25" customHeight="1">
      <c r="A250" s="359" t="str">
        <f t="shared" si="7"/>
        <v>602</v>
      </c>
      <c r="B250" s="530" t="s">
        <v>2488</v>
      </c>
      <c r="C250" s="491" t="s">
        <v>2489</v>
      </c>
      <c r="D250" s="360">
        <v>-663</v>
      </c>
      <c r="E250" s="526"/>
      <c r="G250" s="360"/>
      <c r="M250" s="360"/>
      <c r="N250" s="360">
        <f t="shared" si="9"/>
        <v>-663</v>
      </c>
    </row>
    <row r="251" spans="1:16" ht="11.25" customHeight="1">
      <c r="A251" s="359" t="str">
        <f t="shared" si="7"/>
        <v>602</v>
      </c>
      <c r="B251" s="530" t="s">
        <v>2490</v>
      </c>
      <c r="C251" s="491" t="s">
        <v>2491</v>
      </c>
      <c r="D251" s="360">
        <v>-636.74</v>
      </c>
      <c r="E251" s="526"/>
      <c r="G251" s="360"/>
      <c r="M251" s="360"/>
      <c r="N251" s="360">
        <f t="shared" si="9"/>
        <v>-636.74</v>
      </c>
    </row>
    <row r="252" spans="1:16" ht="11.25" customHeight="1">
      <c r="A252" s="359" t="str">
        <f t="shared" si="7"/>
        <v>602</v>
      </c>
      <c r="B252" s="530" t="s">
        <v>2492</v>
      </c>
      <c r="C252" s="491" t="s">
        <v>2493</v>
      </c>
      <c r="D252" s="360">
        <v>-9912.5499999999993</v>
      </c>
      <c r="E252" s="526"/>
      <c r="G252" s="360"/>
      <c r="M252" s="360"/>
      <c r="N252" s="360">
        <f t="shared" si="9"/>
        <v>-9912.5499999999993</v>
      </c>
    </row>
    <row r="253" spans="1:16" ht="11.25" customHeight="1">
      <c r="A253" s="359" t="str">
        <f t="shared" si="7"/>
        <v>602</v>
      </c>
      <c r="B253" s="530" t="s">
        <v>2494</v>
      </c>
      <c r="C253" s="491" t="s">
        <v>2495</v>
      </c>
      <c r="D253" s="360">
        <v>-12918.71</v>
      </c>
      <c r="E253" s="525"/>
      <c r="G253" s="360"/>
      <c r="M253" s="360"/>
      <c r="N253" s="360">
        <f t="shared" si="9"/>
        <v>-12918.71</v>
      </c>
    </row>
    <row r="254" spans="1:16" ht="11.25" customHeight="1">
      <c r="A254" s="359" t="str">
        <f t="shared" si="7"/>
        <v>602</v>
      </c>
      <c r="B254" s="530" t="s">
        <v>2496</v>
      </c>
      <c r="C254" s="491" t="s">
        <v>2497</v>
      </c>
      <c r="D254" s="360">
        <v>-47159.49</v>
      </c>
      <c r="E254" s="529"/>
      <c r="G254" s="360"/>
      <c r="K254" s="360"/>
      <c r="L254" s="360"/>
      <c r="N254" s="360">
        <f t="shared" si="9"/>
        <v>-47159.49</v>
      </c>
    </row>
    <row r="255" spans="1:16" ht="11.25" customHeight="1">
      <c r="A255" s="359" t="str">
        <f t="shared" si="7"/>
        <v>602</v>
      </c>
      <c r="B255" s="530" t="s">
        <v>2498</v>
      </c>
      <c r="C255" s="491" t="s">
        <v>2499</v>
      </c>
      <c r="D255" s="360">
        <v>-398.72</v>
      </c>
      <c r="E255" s="529"/>
      <c r="G255" s="360"/>
      <c r="N255" s="360">
        <f t="shared" si="9"/>
        <v>-398.72</v>
      </c>
      <c r="O255" s="360"/>
      <c r="P255" s="360"/>
    </row>
    <row r="256" spans="1:16" ht="11.25" customHeight="1">
      <c r="A256" s="359" t="str">
        <f t="shared" si="7"/>
        <v>602</v>
      </c>
      <c r="B256" s="530" t="s">
        <v>2500</v>
      </c>
      <c r="C256" s="491" t="s">
        <v>2501</v>
      </c>
      <c r="D256" s="360">
        <v>-7152.54</v>
      </c>
      <c r="E256" s="529"/>
      <c r="G256" s="360"/>
      <c r="L256" s="360">
        <f>+D256</f>
        <v>-7152.54</v>
      </c>
      <c r="O256" s="360"/>
      <c r="P256" s="360"/>
    </row>
    <row r="257" spans="1:17" ht="11.25" customHeight="1">
      <c r="A257" s="359" t="str">
        <f t="shared" si="7"/>
        <v>621</v>
      </c>
      <c r="B257" s="530" t="s">
        <v>2502</v>
      </c>
      <c r="C257" s="491" t="s">
        <v>2503</v>
      </c>
      <c r="D257" s="360">
        <v>-162173.09</v>
      </c>
      <c r="E257" s="525"/>
      <c r="G257" s="360"/>
      <c r="Q257" s="360"/>
    </row>
    <row r="258" spans="1:17" ht="11.25" customHeight="1">
      <c r="A258" s="359" t="str">
        <f t="shared" si="7"/>
        <v>644</v>
      </c>
      <c r="B258" s="530" t="s">
        <v>2504</v>
      </c>
      <c r="C258" s="491" t="s">
        <v>2505</v>
      </c>
      <c r="D258" s="360">
        <v>-33.619999999999997</v>
      </c>
      <c r="E258" s="529"/>
      <c r="G258" s="360"/>
    </row>
    <row r="259" spans="1:17" ht="11.25" customHeight="1">
      <c r="A259" s="359" t="str">
        <f t="shared" si="7"/>
        <v>645</v>
      </c>
      <c r="B259" s="530" t="s">
        <v>2506</v>
      </c>
      <c r="C259" s="491" t="s">
        <v>2507</v>
      </c>
      <c r="D259" s="360">
        <v>0</v>
      </c>
      <c r="E259" s="529"/>
      <c r="G259" s="360"/>
    </row>
    <row r="260" spans="1:17" ht="11.25" customHeight="1">
      <c r="A260" s="359" t="str">
        <f t="shared" si="7"/>
        <v>646</v>
      </c>
      <c r="B260" s="530" t="s">
        <v>2508</v>
      </c>
      <c r="C260" s="491" t="s">
        <v>2509</v>
      </c>
      <c r="D260" s="360">
        <v>-2479.27</v>
      </c>
      <c r="E260" s="529"/>
      <c r="G260" s="360"/>
    </row>
    <row r="261" spans="1:17" ht="11.25" customHeight="1">
      <c r="A261" s="359" t="str">
        <f t="shared" ref="A261:A275" si="10">LEFT(B261,3)</f>
        <v>646</v>
      </c>
      <c r="B261" s="530" t="s">
        <v>2510</v>
      </c>
      <c r="C261" s="491" t="s">
        <v>2511</v>
      </c>
      <c r="D261" s="360">
        <v>-3649.33</v>
      </c>
      <c r="E261" s="529"/>
      <c r="G261" s="360"/>
    </row>
    <row r="262" spans="1:17" ht="11.25" customHeight="1">
      <c r="A262" s="359" t="str">
        <f t="shared" si="10"/>
        <v>649</v>
      </c>
      <c r="B262" s="530" t="s">
        <v>2512</v>
      </c>
      <c r="C262" s="491" t="s">
        <v>2513</v>
      </c>
      <c r="D262" s="360">
        <v>-4867.2</v>
      </c>
      <c r="E262" s="529"/>
      <c r="G262" s="360"/>
    </row>
    <row r="263" spans="1:17" ht="11.25" customHeight="1">
      <c r="A263" s="359" t="str">
        <f t="shared" si="10"/>
        <v>649</v>
      </c>
      <c r="B263" s="530" t="s">
        <v>2514</v>
      </c>
      <c r="C263" s="491" t="s">
        <v>2515</v>
      </c>
      <c r="D263" s="360">
        <v>-41842.97</v>
      </c>
      <c r="E263" s="529"/>
      <c r="G263" s="360"/>
    </row>
    <row r="264" spans="1:17" ht="11.25" customHeight="1">
      <c r="A264" s="359" t="str">
        <f t="shared" si="10"/>
        <v>649</v>
      </c>
      <c r="B264" s="530" t="s">
        <v>2516</v>
      </c>
      <c r="C264" s="491" t="s">
        <v>2517</v>
      </c>
      <c r="D264" s="360">
        <v>-575.1</v>
      </c>
      <c r="E264" s="529"/>
      <c r="G264" s="360"/>
    </row>
    <row r="265" spans="1:17" ht="11.25" customHeight="1">
      <c r="A265" s="359" t="str">
        <f t="shared" si="10"/>
        <v>649</v>
      </c>
      <c r="B265" s="530" t="s">
        <v>2518</v>
      </c>
      <c r="C265" s="491" t="s">
        <v>2519</v>
      </c>
      <c r="D265" s="360">
        <v>-3678.84</v>
      </c>
      <c r="E265" s="529"/>
      <c r="G265" s="360"/>
    </row>
    <row r="266" spans="1:17" ht="11.25" customHeight="1">
      <c r="A266" s="359" t="str">
        <f t="shared" si="10"/>
        <v>649</v>
      </c>
      <c r="B266" s="530" t="s">
        <v>2520</v>
      </c>
      <c r="C266" s="491" t="s">
        <v>2521</v>
      </c>
      <c r="D266" s="360">
        <v>-1208.55</v>
      </c>
      <c r="E266" s="529"/>
      <c r="G266" s="360"/>
    </row>
    <row r="267" spans="1:17" ht="11.25" customHeight="1">
      <c r="A267" s="359" t="str">
        <f t="shared" si="10"/>
        <v>649</v>
      </c>
      <c r="B267" s="530" t="s">
        <v>2522</v>
      </c>
      <c r="C267" s="491" t="s">
        <v>2523</v>
      </c>
      <c r="D267" s="360">
        <v>-71.28</v>
      </c>
      <c r="E267" s="529"/>
      <c r="G267" s="360"/>
    </row>
    <row r="268" spans="1:17" ht="11.25" customHeight="1">
      <c r="A268" s="359" t="str">
        <f t="shared" si="10"/>
        <v>651</v>
      </c>
      <c r="B268" s="530" t="s">
        <v>2524</v>
      </c>
      <c r="C268" s="491" t="s">
        <v>2525</v>
      </c>
      <c r="D268" s="360">
        <v>-47078.74</v>
      </c>
      <c r="E268" s="529"/>
      <c r="G268" s="360"/>
    </row>
    <row r="269" spans="1:17" ht="11.25" customHeight="1">
      <c r="A269" s="359" t="str">
        <f t="shared" si="10"/>
        <v>654</v>
      </c>
      <c r="B269" s="530" t="s">
        <v>2526</v>
      </c>
      <c r="C269" s="491" t="s">
        <v>2527</v>
      </c>
      <c r="D269" s="360">
        <v>-220398.34</v>
      </c>
      <c r="E269" s="529"/>
      <c r="G269" s="360"/>
    </row>
    <row r="270" spans="1:17" ht="11.25" customHeight="1">
      <c r="A270" s="359" t="str">
        <f t="shared" si="10"/>
        <v>654</v>
      </c>
      <c r="B270" s="530" t="s">
        <v>2528</v>
      </c>
      <c r="C270" s="491" t="s">
        <v>2529</v>
      </c>
      <c r="D270" s="360">
        <v>-128095.7</v>
      </c>
      <c r="E270" s="529"/>
      <c r="G270" s="360"/>
    </row>
    <row r="271" spans="1:17" ht="11.25" customHeight="1">
      <c r="A271" s="359" t="str">
        <f t="shared" si="10"/>
        <v>654</v>
      </c>
      <c r="B271" s="530" t="s">
        <v>2530</v>
      </c>
      <c r="C271" s="491" t="s">
        <v>2531</v>
      </c>
      <c r="D271" s="360">
        <v>-150</v>
      </c>
      <c r="E271" s="529"/>
      <c r="G271" s="360"/>
    </row>
    <row r="272" spans="1:17" ht="11.25" customHeight="1">
      <c r="A272" s="359" t="str">
        <f t="shared" si="10"/>
        <v>656</v>
      </c>
      <c r="B272" s="530" t="s">
        <v>2532</v>
      </c>
      <c r="C272" s="491" t="s">
        <v>2533</v>
      </c>
      <c r="D272" s="360">
        <v>-11141.26</v>
      </c>
      <c r="E272" s="529"/>
      <c r="G272" s="360"/>
    </row>
    <row r="273" spans="1:5" ht="11.25" customHeight="1">
      <c r="A273" s="359" t="str">
        <f t="shared" si="10"/>
        <v>665</v>
      </c>
      <c r="B273" s="524" t="s">
        <v>2534</v>
      </c>
      <c r="C273" s="524" t="s">
        <v>2535</v>
      </c>
      <c r="D273" s="360">
        <v>-1607.29</v>
      </c>
      <c r="E273" s="524"/>
    </row>
    <row r="274" spans="1:5" ht="11.25" customHeight="1">
      <c r="A274" s="359" t="str">
        <f t="shared" si="10"/>
        <v>691</v>
      </c>
      <c r="B274" s="524" t="s">
        <v>2536</v>
      </c>
      <c r="C274" s="524" t="s">
        <v>2537</v>
      </c>
      <c r="D274" s="360">
        <v>0</v>
      </c>
      <c r="E274" s="524"/>
    </row>
    <row r="275" spans="1:5" ht="11.25" customHeight="1">
      <c r="A275" s="359" t="str">
        <f t="shared" si="10"/>
        <v>691</v>
      </c>
      <c r="B275" s="524" t="s">
        <v>2538</v>
      </c>
      <c r="C275" s="524" t="s">
        <v>2539</v>
      </c>
      <c r="D275" s="360">
        <v>0</v>
      </c>
      <c r="E275" s="524"/>
    </row>
  </sheetData>
  <autoFilter ref="A3:AJ275"/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E3" sqref="E3"/>
    </sheetView>
  </sheetViews>
  <sheetFormatPr defaultRowHeight="12.75"/>
  <cols>
    <col min="2" max="2" width="11.28515625" bestFit="1" customWidth="1"/>
    <col min="3" max="3" width="15.42578125" customWidth="1"/>
    <col min="4" max="4" width="12" customWidth="1"/>
    <col min="5" max="5" width="9.7109375" bestFit="1" customWidth="1"/>
    <col min="7" max="7" width="10.85546875" bestFit="1" customWidth="1"/>
  </cols>
  <sheetData>
    <row r="1" spans="2:9">
      <c r="C1">
        <v>2014</v>
      </c>
      <c r="G1">
        <v>2013</v>
      </c>
    </row>
    <row r="2" spans="2:9">
      <c r="C2" t="s">
        <v>1555</v>
      </c>
      <c r="D2" t="s">
        <v>1554</v>
      </c>
      <c r="G2" t="s">
        <v>1555</v>
      </c>
      <c r="H2" t="s">
        <v>1554</v>
      </c>
    </row>
    <row r="3" spans="2:9">
      <c r="C3" s="453">
        <f>+súvaha_vykaz!D92+súvaha_vykaz!D101+súvaha_vykaz!D111+C6+C7+súvaha_vykaz!D116</f>
        <v>3102954.1100000003</v>
      </c>
      <c r="D3" s="251">
        <f>+súvaha_vykaz!F39+súvaha_vykaz!F67</f>
        <v>180680.41</v>
      </c>
      <c r="E3" s="468">
        <f>+C3-D3</f>
        <v>2922273.7</v>
      </c>
      <c r="G3" s="251">
        <f>+súvaha_vykaz!E92+súvaha_vykaz!E101+súvaha_vykaz!E111+G6</f>
        <v>5218056.28</v>
      </c>
      <c r="H3" s="251">
        <f>+súvaha_vykaz!G39+súvaha_vykaz!G67</f>
        <v>2270153.34</v>
      </c>
      <c r="I3" s="468">
        <f>+G3-H3</f>
        <v>2947902.9400000004</v>
      </c>
    </row>
    <row r="4" spans="2:9">
      <c r="C4" s="251"/>
    </row>
    <row r="5" spans="2:9" ht="13.5" thickBot="1">
      <c r="C5" s="251"/>
    </row>
    <row r="6" spans="2:9" ht="13.5" thickBot="1">
      <c r="B6" s="251" t="s">
        <v>1674</v>
      </c>
      <c r="C6" s="352">
        <v>0</v>
      </c>
      <c r="G6" s="572">
        <v>2586</v>
      </c>
    </row>
    <row r="7" spans="2:9" ht="13.5" thickBot="1">
      <c r="B7" s="462" t="s">
        <v>1811</v>
      </c>
      <c r="C7" s="352">
        <f>+súvaha_vykaz!D116</f>
        <v>0</v>
      </c>
      <c r="G7" s="57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3"/>
  <sheetViews>
    <sheetView topLeftCell="A19" workbookViewId="0">
      <selection activeCell="E30" sqref="E30"/>
    </sheetView>
  </sheetViews>
  <sheetFormatPr defaultRowHeight="11.25"/>
  <cols>
    <col min="1" max="1" width="9.140625" style="215"/>
    <col min="2" max="2" width="6.28515625" style="215" customWidth="1"/>
    <col min="3" max="3" width="9.5703125" style="215" bestFit="1" customWidth="1"/>
    <col min="4" max="4" width="31.5703125" style="215" bestFit="1" customWidth="1"/>
    <col min="5" max="5" width="9.140625" style="215"/>
    <col min="6" max="6" width="29.42578125" style="215" bestFit="1" customWidth="1"/>
    <col min="7" max="8" width="9.140625" style="215"/>
    <col min="9" max="9" width="9.5703125" style="215" bestFit="1" customWidth="1"/>
    <col min="10" max="10" width="9.140625" style="223"/>
    <col min="11" max="16384" width="9.140625" style="215"/>
  </cols>
  <sheetData>
    <row r="1" spans="2:7">
      <c r="B1" s="269" t="s">
        <v>1217</v>
      </c>
      <c r="C1" s="269" t="s">
        <v>1635</v>
      </c>
      <c r="D1" s="269" t="s">
        <v>1636</v>
      </c>
      <c r="E1" s="270" t="s">
        <v>1637</v>
      </c>
      <c r="G1" s="215">
        <v>1</v>
      </c>
    </row>
    <row r="2" spans="2:7">
      <c r="B2" s="267">
        <v>504</v>
      </c>
      <c r="C2" s="277">
        <v>5041000000</v>
      </c>
      <c r="D2" s="265" t="s">
        <v>1073</v>
      </c>
      <c r="E2" s="268">
        <v>72677.8</v>
      </c>
    </row>
    <row r="3" spans="2:7">
      <c r="B3" s="267">
        <v>602</v>
      </c>
      <c r="C3" s="277">
        <v>6021220000</v>
      </c>
      <c r="D3" s="265" t="s">
        <v>1134</v>
      </c>
      <c r="E3" s="268">
        <v>-940.49</v>
      </c>
    </row>
    <row r="4" spans="2:7">
      <c r="B4" s="267">
        <v>602</v>
      </c>
      <c r="C4" s="277">
        <v>6021240000</v>
      </c>
      <c r="D4" s="265" t="s">
        <v>1135</v>
      </c>
      <c r="E4" s="268">
        <v>-600</v>
      </c>
    </row>
    <row r="5" spans="2:7">
      <c r="B5" s="267">
        <v>602</v>
      </c>
      <c r="C5" s="277">
        <v>6021260000</v>
      </c>
      <c r="D5" s="265" t="s">
        <v>1136</v>
      </c>
      <c r="E5" s="268">
        <v>0</v>
      </c>
    </row>
    <row r="6" spans="2:7">
      <c r="B6" s="267">
        <v>602</v>
      </c>
      <c r="C6" s="277">
        <v>6021280000</v>
      </c>
      <c r="D6" s="265" t="s">
        <v>1137</v>
      </c>
      <c r="E6" s="268">
        <v>-55.22</v>
      </c>
    </row>
    <row r="7" spans="2:7">
      <c r="B7" s="267">
        <v>602</v>
      </c>
      <c r="C7" s="277">
        <v>6021320000</v>
      </c>
      <c r="D7" s="265" t="s">
        <v>1138</v>
      </c>
      <c r="E7" s="268">
        <v>-509.93</v>
      </c>
    </row>
    <row r="8" spans="2:7">
      <c r="B8" s="267">
        <v>602</v>
      </c>
      <c r="C8" s="277">
        <v>6021520000</v>
      </c>
      <c r="D8" s="265" t="s">
        <v>1139</v>
      </c>
      <c r="E8" s="268">
        <v>-2955.86</v>
      </c>
    </row>
    <row r="9" spans="2:7">
      <c r="B9" s="267">
        <v>602</v>
      </c>
      <c r="C9" s="277">
        <v>6021620000</v>
      </c>
      <c r="D9" s="265" t="s">
        <v>1140</v>
      </c>
      <c r="E9" s="268">
        <v>-43</v>
      </c>
    </row>
    <row r="10" spans="2:7">
      <c r="B10" s="267">
        <v>602</v>
      </c>
      <c r="C10" s="277">
        <v>6021810000</v>
      </c>
      <c r="D10" s="265" t="s">
        <v>1141</v>
      </c>
      <c r="E10" s="268">
        <v>-1566.91</v>
      </c>
    </row>
    <row r="11" spans="2:7">
      <c r="B11" s="267">
        <v>602</v>
      </c>
      <c r="C11" s="277">
        <v>6021920000</v>
      </c>
      <c r="D11" s="265" t="s">
        <v>1142</v>
      </c>
      <c r="E11" s="268">
        <v>-25281.81</v>
      </c>
    </row>
    <row r="12" spans="2:7">
      <c r="B12" s="267">
        <v>602</v>
      </c>
      <c r="C12" s="277">
        <v>6021940000</v>
      </c>
      <c r="D12" s="265" t="s">
        <v>1143</v>
      </c>
      <c r="E12" s="268">
        <v>-18074.54</v>
      </c>
    </row>
    <row r="13" spans="2:7">
      <c r="B13" s="267">
        <v>602</v>
      </c>
      <c r="C13" s="277">
        <v>6021950000</v>
      </c>
      <c r="D13" s="265" t="s">
        <v>1144</v>
      </c>
      <c r="E13" s="268">
        <v>-1.67</v>
      </c>
    </row>
    <row r="14" spans="2:7">
      <c r="B14" s="267">
        <v>602</v>
      </c>
      <c r="C14" s="277">
        <v>6021960000</v>
      </c>
      <c r="D14" s="265" t="s">
        <v>1145</v>
      </c>
      <c r="E14" s="268">
        <v>-15140.64</v>
      </c>
    </row>
    <row r="15" spans="2:7">
      <c r="B15" s="267">
        <v>602</v>
      </c>
      <c r="C15" s="277">
        <v>6021990000</v>
      </c>
      <c r="D15" s="265" t="s">
        <v>1146</v>
      </c>
      <c r="E15" s="268">
        <v>-11023.99</v>
      </c>
    </row>
    <row r="16" spans="2:7">
      <c r="B16" s="267">
        <v>602</v>
      </c>
      <c r="C16" s="277">
        <v>6022000000</v>
      </c>
      <c r="D16" s="265" t="s">
        <v>1147</v>
      </c>
      <c r="E16" s="268">
        <v>-227700</v>
      </c>
    </row>
    <row r="17" spans="2:5">
      <c r="B17" s="267">
        <v>602</v>
      </c>
      <c r="C17" s="277">
        <v>6022010000</v>
      </c>
      <c r="D17" s="265" t="s">
        <v>1148</v>
      </c>
      <c r="E17" s="268">
        <v>-3367.42</v>
      </c>
    </row>
    <row r="18" spans="2:5">
      <c r="B18" s="267">
        <v>602</v>
      </c>
      <c r="C18" s="277">
        <v>6022150000</v>
      </c>
      <c r="D18" s="265" t="s">
        <v>1154</v>
      </c>
      <c r="E18" s="268">
        <v>-1992.79</v>
      </c>
    </row>
    <row r="19" spans="2:5">
      <c r="B19" s="267">
        <v>602</v>
      </c>
      <c r="C19" s="277">
        <v>6022170000</v>
      </c>
      <c r="D19" s="265" t="s">
        <v>1156</v>
      </c>
      <c r="E19" s="268">
        <v>-13278.09</v>
      </c>
    </row>
    <row r="20" spans="2:5">
      <c r="B20" s="267">
        <v>602</v>
      </c>
      <c r="C20" s="277">
        <v>6022190000</v>
      </c>
      <c r="D20" s="265" t="s">
        <v>1158</v>
      </c>
      <c r="E20" s="268">
        <v>-424.32</v>
      </c>
    </row>
    <row r="21" spans="2:5">
      <c r="B21" s="267">
        <v>602</v>
      </c>
      <c r="C21" s="277">
        <v>6022200000</v>
      </c>
      <c r="D21" s="265" t="s">
        <v>1159</v>
      </c>
      <c r="E21" s="268">
        <v>-3248.5</v>
      </c>
    </row>
    <row r="22" spans="2:5">
      <c r="B22" s="267">
        <v>602</v>
      </c>
      <c r="C22" s="277">
        <v>6022250000</v>
      </c>
      <c r="D22" s="265" t="s">
        <v>1162</v>
      </c>
      <c r="E22" s="268">
        <v>-7706.28</v>
      </c>
    </row>
    <row r="23" spans="2:5">
      <c r="B23" s="267">
        <v>602</v>
      </c>
      <c r="C23" s="277">
        <v>6022260000</v>
      </c>
      <c r="D23" s="265" t="s">
        <v>1163</v>
      </c>
      <c r="E23" s="268">
        <v>-364</v>
      </c>
    </row>
    <row r="24" spans="2:5">
      <c r="B24" s="267">
        <v>602</v>
      </c>
      <c r="C24" s="277">
        <v>6022280000</v>
      </c>
      <c r="D24" s="265" t="s">
        <v>1165</v>
      </c>
      <c r="E24" s="268">
        <v>-1375.5</v>
      </c>
    </row>
    <row r="25" spans="2:5">
      <c r="B25" s="267">
        <v>602</v>
      </c>
      <c r="C25" s="277">
        <v>6023070000</v>
      </c>
      <c r="D25" s="265" t="s">
        <v>1173</v>
      </c>
      <c r="E25" s="268">
        <v>-46916.83</v>
      </c>
    </row>
    <row r="26" spans="2:5">
      <c r="B26" s="267">
        <v>604</v>
      </c>
      <c r="C26" s="277">
        <v>6041000000</v>
      </c>
      <c r="D26" s="265" t="s">
        <v>1180</v>
      </c>
      <c r="E26" s="268">
        <v>-78894.11</v>
      </c>
    </row>
    <row r="27" spans="2:5">
      <c r="B27" s="267">
        <v>644</v>
      </c>
      <c r="C27" s="277">
        <v>6441000000</v>
      </c>
      <c r="D27" s="265" t="s">
        <v>1182</v>
      </c>
      <c r="E27" s="268">
        <v>-4.8099999999999996</v>
      </c>
    </row>
    <row r="28" spans="2:5">
      <c r="B28" s="267">
        <v>644</v>
      </c>
      <c r="C28" s="277">
        <v>6442000000</v>
      </c>
      <c r="D28" s="265" t="s">
        <v>1183</v>
      </c>
      <c r="E28" s="268">
        <v>18.850000000000001</v>
      </c>
    </row>
    <row r="29" spans="2:5">
      <c r="B29" s="267">
        <v>644</v>
      </c>
      <c r="C29" s="277">
        <v>6443000000</v>
      </c>
      <c r="D29" s="265" t="s">
        <v>1184</v>
      </c>
      <c r="E29" s="268">
        <v>-0.39</v>
      </c>
    </row>
    <row r="30" spans="2:5">
      <c r="B30" s="267">
        <v>518</v>
      </c>
      <c r="C30" s="277">
        <v>5187000000</v>
      </c>
      <c r="D30" s="265" t="s">
        <v>1096</v>
      </c>
      <c r="E30" s="268">
        <v>84300</v>
      </c>
    </row>
    <row r="31" spans="2:5">
      <c r="B31" s="267">
        <v>501</v>
      </c>
      <c r="C31" s="277">
        <v>5012120000</v>
      </c>
      <c r="D31" s="265" t="s">
        <v>1048</v>
      </c>
      <c r="E31" s="268">
        <v>315.21439393931672</v>
      </c>
    </row>
    <row r="32" spans="2:5">
      <c r="B32" s="267">
        <v>501</v>
      </c>
      <c r="C32" s="277">
        <v>5012220000</v>
      </c>
      <c r="D32" s="265" t="s">
        <v>1050</v>
      </c>
      <c r="E32" s="268">
        <v>902.09536636998268</v>
      </c>
    </row>
    <row r="33" spans="2:5">
      <c r="B33" s="267">
        <v>501</v>
      </c>
      <c r="C33" s="277">
        <v>5012320000</v>
      </c>
      <c r="D33" s="265" t="s">
        <v>1052</v>
      </c>
      <c r="E33" s="268">
        <v>1.5619154782383036</v>
      </c>
    </row>
    <row r="34" spans="2:5">
      <c r="B34" s="267">
        <v>501</v>
      </c>
      <c r="C34" s="277">
        <v>5012330000</v>
      </c>
      <c r="D34" s="265" t="s">
        <v>1053</v>
      </c>
      <c r="E34" s="268">
        <v>1.1940108768185789</v>
      </c>
    </row>
    <row r="35" spans="2:5">
      <c r="B35" s="267">
        <v>501</v>
      </c>
      <c r="C35" s="277">
        <v>5016200000</v>
      </c>
      <c r="D35" s="265" t="s">
        <v>1058</v>
      </c>
      <c r="E35" s="268">
        <v>3344.1199931952506</v>
      </c>
    </row>
    <row r="36" spans="2:5">
      <c r="B36" s="267">
        <v>501</v>
      </c>
      <c r="C36" s="277">
        <v>5017110000</v>
      </c>
      <c r="D36" s="265" t="s">
        <v>1059</v>
      </c>
      <c r="E36" s="268">
        <v>1081.1850232913785</v>
      </c>
    </row>
    <row r="37" spans="2:5">
      <c r="B37" s="267">
        <v>501</v>
      </c>
      <c r="C37" s="277">
        <v>5017120000</v>
      </c>
      <c r="D37" s="265" t="s">
        <v>1060</v>
      </c>
      <c r="E37" s="268">
        <v>10.75579922974136</v>
      </c>
    </row>
    <row r="38" spans="2:5">
      <c r="B38" s="267">
        <v>501</v>
      </c>
      <c r="C38" s="277">
        <v>5017130000</v>
      </c>
      <c r="D38" s="265" t="s">
        <v>1061</v>
      </c>
      <c r="E38" s="268">
        <v>943.23432860591561</v>
      </c>
    </row>
    <row r="39" spans="2:5">
      <c r="B39" s="267">
        <v>501</v>
      </c>
      <c r="C39" s="277">
        <v>5017500000</v>
      </c>
      <c r="D39" s="265" t="s">
        <v>1062</v>
      </c>
      <c r="E39" s="268">
        <v>490.93240752866819</v>
      </c>
    </row>
    <row r="40" spans="2:5">
      <c r="B40" s="267">
        <v>501</v>
      </c>
      <c r="C40" s="277">
        <v>5018200000</v>
      </c>
      <c r="D40" s="265" t="s">
        <v>1064</v>
      </c>
      <c r="E40" s="268">
        <v>738.89496818914904</v>
      </c>
    </row>
    <row r="41" spans="2:5">
      <c r="B41" s="267">
        <v>501</v>
      </c>
      <c r="C41" s="277">
        <v>5019300000</v>
      </c>
      <c r="D41" s="265" t="s">
        <v>1067</v>
      </c>
      <c r="E41" s="268">
        <v>49.867118013529939</v>
      </c>
    </row>
    <row r="42" spans="2:5">
      <c r="B42" s="267">
        <v>511</v>
      </c>
      <c r="C42" s="277">
        <v>5111000000</v>
      </c>
      <c r="D42" s="265" t="s">
        <v>1074</v>
      </c>
      <c r="E42" s="268">
        <v>1135.1386780234429</v>
      </c>
    </row>
    <row r="43" spans="2:5">
      <c r="B43" s="267">
        <v>511</v>
      </c>
      <c r="C43" s="277">
        <v>5114000000</v>
      </c>
      <c r="D43" s="265" t="s">
        <v>1077</v>
      </c>
      <c r="E43" s="268">
        <v>506.07777885556459</v>
      </c>
    </row>
    <row r="44" spans="2:5">
      <c r="B44" s="267">
        <v>518</v>
      </c>
      <c r="C44" s="277">
        <v>5182100000</v>
      </c>
      <c r="D44" s="265" t="s">
        <v>1087</v>
      </c>
      <c r="E44" s="268">
        <v>746.25679801161175</v>
      </c>
    </row>
    <row r="45" spans="2:5">
      <c r="B45" s="267">
        <v>518</v>
      </c>
      <c r="C45" s="277">
        <v>5185000000</v>
      </c>
      <c r="D45" s="265" t="s">
        <v>1092</v>
      </c>
      <c r="E45" s="268">
        <v>1728.148223715217</v>
      </c>
    </row>
    <row r="46" spans="2:5">
      <c r="B46" s="267">
        <v>521</v>
      </c>
      <c r="C46" s="277">
        <v>5211200000</v>
      </c>
      <c r="D46" s="265" t="s">
        <v>1101</v>
      </c>
      <c r="E46" s="268">
        <v>43898.392712794302</v>
      </c>
    </row>
    <row r="47" spans="2:5">
      <c r="B47" s="267">
        <v>524</v>
      </c>
      <c r="C47" s="277">
        <v>5241200000</v>
      </c>
      <c r="D47" s="265" t="s">
        <v>1105</v>
      </c>
      <c r="E47" s="268">
        <v>14899.56397853477</v>
      </c>
    </row>
    <row r="48" spans="2:5">
      <c r="B48" s="267">
        <v>527</v>
      </c>
      <c r="C48" s="277">
        <v>5271000000</v>
      </c>
      <c r="D48" s="265" t="s">
        <v>1106</v>
      </c>
      <c r="E48" s="268">
        <v>1666.2488949115088</v>
      </c>
    </row>
    <row r="49" spans="2:11">
      <c r="B49" s="267">
        <v>527</v>
      </c>
      <c r="C49" s="277">
        <v>5272000000</v>
      </c>
      <c r="D49" s="265" t="s">
        <v>1638</v>
      </c>
      <c r="E49" s="268">
        <v>1627.6084641672655</v>
      </c>
    </row>
    <row r="50" spans="2:11">
      <c r="B50" s="267">
        <v>528</v>
      </c>
      <c r="C50" s="277">
        <v>5281000000</v>
      </c>
      <c r="D50" s="265" t="s">
        <v>1107</v>
      </c>
      <c r="E50" s="268">
        <v>62.793778268687078</v>
      </c>
    </row>
    <row r="51" spans="2:11">
      <c r="B51" s="267">
        <v>528</v>
      </c>
      <c r="C51" s="277">
        <v>5283000000</v>
      </c>
      <c r="D51" s="265" t="s">
        <v>1108</v>
      </c>
      <c r="E51" s="268">
        <v>434.5923476604363</v>
      </c>
    </row>
    <row r="52" spans="2:11">
      <c r="B52" s="267">
        <v>544</v>
      </c>
      <c r="C52" s="277">
        <v>5443000000</v>
      </c>
      <c r="D52" s="265" t="s">
        <v>1113</v>
      </c>
      <c r="E52" s="268">
        <v>1332.7586719888877</v>
      </c>
    </row>
    <row r="53" spans="2:11">
      <c r="B53" s="267">
        <v>544</v>
      </c>
      <c r="C53" s="277">
        <v>5444000000</v>
      </c>
      <c r="D53" s="265" t="s">
        <v>1114</v>
      </c>
      <c r="E53" s="268">
        <v>95.070877296285303</v>
      </c>
    </row>
    <row r="54" spans="2:11">
      <c r="B54" s="267">
        <v>544</v>
      </c>
      <c r="C54" s="277">
        <v>5445000000</v>
      </c>
      <c r="D54" s="265" t="s">
        <v>1115</v>
      </c>
      <c r="E54" s="268">
        <v>236.07236799658929</v>
      </c>
    </row>
    <row r="55" spans="2:11">
      <c r="B55" s="267">
        <v>547</v>
      </c>
      <c r="C55" s="277">
        <v>5471000000</v>
      </c>
      <c r="D55" s="265" t="s">
        <v>1116</v>
      </c>
      <c r="E55" s="268">
        <v>22.387703940348352</v>
      </c>
    </row>
    <row r="56" spans="2:11">
      <c r="B56" s="267">
        <v>551</v>
      </c>
      <c r="C56" s="277">
        <v>5511200000</v>
      </c>
      <c r="D56" s="265" t="s">
        <v>1128</v>
      </c>
      <c r="E56" s="268">
        <v>1909.9763651421013</v>
      </c>
    </row>
    <row r="57" spans="2:11">
      <c r="B57" s="267">
        <v>518</v>
      </c>
      <c r="C57" s="278">
        <v>5186100000</v>
      </c>
      <c r="D57" s="266" t="s">
        <v>1639</v>
      </c>
      <c r="E57" s="268">
        <v>940.49</v>
      </c>
      <c r="F57" s="274" t="s">
        <v>1134</v>
      </c>
      <c r="G57" s="273">
        <v>-940.49</v>
      </c>
      <c r="I57" s="215" t="s">
        <v>1419</v>
      </c>
      <c r="J57" s="223">
        <v>3439.48</v>
      </c>
      <c r="K57" s="215" t="s">
        <v>1085</v>
      </c>
    </row>
    <row r="58" spans="2:11">
      <c r="B58" s="267">
        <v>518</v>
      </c>
      <c r="C58" s="278">
        <v>5185000000</v>
      </c>
      <c r="D58" s="266" t="s">
        <v>1639</v>
      </c>
      <c r="E58" s="268">
        <v>600</v>
      </c>
      <c r="F58" s="274" t="s">
        <v>1135</v>
      </c>
      <c r="G58" s="273">
        <v>-600</v>
      </c>
      <c r="I58" s="215" t="s">
        <v>1420</v>
      </c>
      <c r="J58" s="223">
        <v>28552.34</v>
      </c>
      <c r="K58" s="215" t="s">
        <v>1086</v>
      </c>
    </row>
    <row r="59" spans="2:11">
      <c r="B59" s="267">
        <v>518</v>
      </c>
      <c r="C59" s="278">
        <v>5186200000</v>
      </c>
      <c r="D59" s="266" t="s">
        <v>1639</v>
      </c>
      <c r="E59" s="268">
        <v>0</v>
      </c>
      <c r="F59" s="274" t="s">
        <v>1136</v>
      </c>
      <c r="G59" s="273">
        <v>0</v>
      </c>
      <c r="I59" s="215" t="s">
        <v>1421</v>
      </c>
      <c r="J59" s="223">
        <v>10000</v>
      </c>
      <c r="K59" s="215" t="s">
        <v>1087</v>
      </c>
    </row>
    <row r="60" spans="2:11">
      <c r="B60" s="267">
        <v>518</v>
      </c>
      <c r="C60" s="279">
        <v>5189300000</v>
      </c>
      <c r="D60" s="266" t="s">
        <v>1639</v>
      </c>
      <c r="E60" s="268">
        <v>55.22</v>
      </c>
      <c r="F60" s="274" t="s">
        <v>1137</v>
      </c>
      <c r="G60" s="273">
        <v>-55.22</v>
      </c>
      <c r="I60" s="215" t="s">
        <v>1422</v>
      </c>
      <c r="J60" s="223">
        <v>1000</v>
      </c>
      <c r="K60" s="215" t="s">
        <v>1088</v>
      </c>
    </row>
    <row r="61" spans="2:11">
      <c r="B61" s="267">
        <v>518</v>
      </c>
      <c r="C61" s="279">
        <v>5189300000</v>
      </c>
      <c r="D61" s="266" t="s">
        <v>1639</v>
      </c>
      <c r="E61" s="268">
        <v>509.93</v>
      </c>
      <c r="F61" s="274" t="s">
        <v>1138</v>
      </c>
      <c r="G61" s="273">
        <v>-509.93</v>
      </c>
      <c r="I61" s="215" t="s">
        <v>1423</v>
      </c>
      <c r="J61" s="223">
        <v>50217.52</v>
      </c>
      <c r="K61" s="215" t="s">
        <v>1089</v>
      </c>
    </row>
    <row r="62" spans="2:11">
      <c r="B62" s="267">
        <v>518</v>
      </c>
      <c r="C62" s="278">
        <v>5189100000</v>
      </c>
      <c r="D62" s="266" t="s">
        <v>1639</v>
      </c>
      <c r="E62" s="268">
        <v>2955.86</v>
      </c>
      <c r="F62" s="274" t="s">
        <v>1139</v>
      </c>
      <c r="G62" s="273">
        <v>-2955.86</v>
      </c>
      <c r="I62" s="215" t="s">
        <v>1424</v>
      </c>
      <c r="J62" s="223">
        <v>9440.89</v>
      </c>
      <c r="K62" s="215" t="s">
        <v>1090</v>
      </c>
    </row>
    <row r="63" spans="2:11">
      <c r="B63" s="267">
        <v>518</v>
      </c>
      <c r="C63" s="279">
        <v>5189300000</v>
      </c>
      <c r="D63" s="266" t="s">
        <v>1639</v>
      </c>
      <c r="E63" s="268">
        <v>43</v>
      </c>
      <c r="F63" s="274" t="s">
        <v>1140</v>
      </c>
      <c r="G63" s="273">
        <v>-43</v>
      </c>
      <c r="I63" s="215" t="s">
        <v>1425</v>
      </c>
      <c r="J63" s="223">
        <v>30928.28</v>
      </c>
      <c r="K63" s="215" t="s">
        <v>1091</v>
      </c>
    </row>
    <row r="64" spans="2:11">
      <c r="B64" s="267">
        <v>518</v>
      </c>
      <c r="C64" s="278">
        <v>5181000000</v>
      </c>
      <c r="D64" s="266" t="s">
        <v>1639</v>
      </c>
      <c r="E64" s="268">
        <v>1566.91</v>
      </c>
      <c r="F64" s="274" t="s">
        <v>1141</v>
      </c>
      <c r="G64" s="273">
        <v>-1566.91</v>
      </c>
      <c r="I64" s="215" t="s">
        <v>1426</v>
      </c>
      <c r="J64" s="223">
        <v>28507.599999999999</v>
      </c>
      <c r="K64" s="215" t="s">
        <v>1092</v>
      </c>
    </row>
    <row r="65" spans="2:11">
      <c r="B65" s="267">
        <v>502</v>
      </c>
      <c r="C65" s="278">
        <v>5024000000</v>
      </c>
      <c r="D65" s="266" t="s">
        <v>1639</v>
      </c>
      <c r="E65" s="268">
        <v>25281.81</v>
      </c>
      <c r="F65" s="274" t="s">
        <v>1142</v>
      </c>
      <c r="G65" s="273">
        <v>-25281.81</v>
      </c>
      <c r="I65" s="215" t="s">
        <v>1427</v>
      </c>
      <c r="J65" s="223">
        <v>11684.15</v>
      </c>
      <c r="K65" s="215" t="s">
        <v>1093</v>
      </c>
    </row>
    <row r="66" spans="2:11">
      <c r="B66" s="267">
        <v>502</v>
      </c>
      <c r="C66" s="278">
        <v>5022000000</v>
      </c>
      <c r="D66" s="266" t="s">
        <v>1639</v>
      </c>
      <c r="E66" s="268">
        <v>18074.54</v>
      </c>
      <c r="F66" s="274" t="s">
        <v>1143</v>
      </c>
      <c r="G66" s="273">
        <v>-18074.54</v>
      </c>
      <c r="I66" s="215" t="s">
        <v>1428</v>
      </c>
      <c r="J66" s="223">
        <v>2292.15</v>
      </c>
      <c r="K66" s="215" t="s">
        <v>1094</v>
      </c>
    </row>
    <row r="67" spans="2:11">
      <c r="B67" s="267">
        <v>502</v>
      </c>
      <c r="C67" s="278">
        <v>5021000000</v>
      </c>
      <c r="D67" s="266" t="s">
        <v>1639</v>
      </c>
      <c r="E67" s="268">
        <v>1.67</v>
      </c>
      <c r="F67" s="274" t="s">
        <v>1144</v>
      </c>
      <c r="G67" s="273">
        <v>-1.67</v>
      </c>
      <c r="I67" s="215" t="s">
        <v>1429</v>
      </c>
      <c r="J67" s="223">
        <v>2975.77</v>
      </c>
      <c r="K67" s="215" t="s">
        <v>1095</v>
      </c>
    </row>
    <row r="68" spans="2:11">
      <c r="B68" s="267">
        <v>502</v>
      </c>
      <c r="C68" s="278">
        <v>5021000000</v>
      </c>
      <c r="D68" s="266" t="s">
        <v>1639</v>
      </c>
      <c r="E68" s="268">
        <v>15140.64</v>
      </c>
      <c r="F68" s="274" t="s">
        <v>1145</v>
      </c>
      <c r="G68" s="273">
        <v>-15140.64</v>
      </c>
      <c r="I68" s="215" t="s">
        <v>1430</v>
      </c>
      <c r="J68" s="223">
        <v>281000</v>
      </c>
      <c r="K68" s="215" t="s">
        <v>1096</v>
      </c>
    </row>
    <row r="69" spans="2:11">
      <c r="C69" s="276">
        <v>5017110000</v>
      </c>
      <c r="D69" s="271" t="s">
        <v>1059</v>
      </c>
      <c r="E69" s="272">
        <v>7.37</v>
      </c>
      <c r="I69" s="215" t="s">
        <v>1431</v>
      </c>
      <c r="J69" s="223">
        <v>15151.28</v>
      </c>
      <c r="K69" s="215" t="s">
        <v>1097</v>
      </c>
    </row>
    <row r="70" spans="2:11">
      <c r="C70" s="276">
        <v>5017130000</v>
      </c>
      <c r="D70" s="271" t="s">
        <v>1061</v>
      </c>
      <c r="E70" s="272">
        <v>24.36</v>
      </c>
      <c r="I70" s="215" t="s">
        <v>1432</v>
      </c>
      <c r="J70" s="223">
        <v>53122.559999999998</v>
      </c>
      <c r="K70" s="215" t="s">
        <v>1098</v>
      </c>
    </row>
    <row r="71" spans="2:11">
      <c r="C71" s="276">
        <v>5018200000</v>
      </c>
      <c r="D71" s="271" t="s">
        <v>1064</v>
      </c>
      <c r="E71" s="272">
        <v>81.08</v>
      </c>
      <c r="I71" s="215" t="s">
        <v>1433</v>
      </c>
      <c r="J71" s="223">
        <v>40440.1</v>
      </c>
      <c r="K71" s="215" t="s">
        <v>1099</v>
      </c>
    </row>
    <row r="72" spans="2:11">
      <c r="C72" s="276">
        <v>5017110000</v>
      </c>
      <c r="D72" s="271" t="s">
        <v>1059</v>
      </c>
      <c r="E72" s="272">
        <v>6.43</v>
      </c>
    </row>
    <row r="73" spans="2:11">
      <c r="C73" s="276">
        <v>5017130000</v>
      </c>
      <c r="D73" s="271" t="s">
        <v>1061</v>
      </c>
      <c r="E73" s="272">
        <v>3.9</v>
      </c>
    </row>
    <row r="74" spans="2:11">
      <c r="C74" s="276">
        <v>5017500000</v>
      </c>
      <c r="D74" s="271" t="s">
        <v>1062</v>
      </c>
      <c r="E74" s="272">
        <v>1.34</v>
      </c>
    </row>
    <row r="75" spans="2:11">
      <c r="C75" s="276">
        <v>5185000000</v>
      </c>
      <c r="D75" s="271" t="s">
        <v>1092</v>
      </c>
      <c r="E75" s="272">
        <v>23.5</v>
      </c>
    </row>
    <row r="76" spans="2:11">
      <c r="C76" s="276">
        <v>5271000000</v>
      </c>
      <c r="D76" s="271" t="s">
        <v>1106</v>
      </c>
      <c r="E76" s="272">
        <v>12.97</v>
      </c>
    </row>
    <row r="77" spans="2:11">
      <c r="C77" s="276">
        <v>5511100000</v>
      </c>
      <c r="D77" s="271" t="s">
        <v>1127</v>
      </c>
      <c r="E77" s="272">
        <v>47.92</v>
      </c>
    </row>
    <row r="78" spans="2:11">
      <c r="C78" s="276">
        <v>5511200000</v>
      </c>
      <c r="D78" s="271" t="s">
        <v>1128</v>
      </c>
      <c r="E78" s="272">
        <v>191.68</v>
      </c>
    </row>
    <row r="79" spans="2:11">
      <c r="C79" s="276">
        <v>5185000000</v>
      </c>
      <c r="D79" s="271" t="s">
        <v>1092</v>
      </c>
      <c r="E79" s="272">
        <v>159</v>
      </c>
    </row>
    <row r="80" spans="2:11">
      <c r="C80" s="276">
        <v>5186100000</v>
      </c>
      <c r="D80" s="271" t="s">
        <v>1093</v>
      </c>
      <c r="E80" s="272">
        <v>175.1</v>
      </c>
    </row>
    <row r="81" spans="3:5">
      <c r="C81" s="276">
        <v>5211100000</v>
      </c>
      <c r="D81" s="271" t="s">
        <v>1100</v>
      </c>
      <c r="E81" s="272">
        <v>17602.68</v>
      </c>
    </row>
    <row r="82" spans="3:5">
      <c r="C82" s="276">
        <v>5241100000</v>
      </c>
      <c r="D82" s="271" t="s">
        <v>1104</v>
      </c>
      <c r="E82" s="272">
        <v>4927.05</v>
      </c>
    </row>
    <row r="83" spans="3:5">
      <c r="C83" s="276">
        <v>5271000000</v>
      </c>
      <c r="D83" s="271" t="s">
        <v>1106</v>
      </c>
      <c r="E83" s="272">
        <v>106.48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R162"/>
  <sheetViews>
    <sheetView showGridLines="0" topLeftCell="A101" zoomScale="90" zoomScaleNormal="90" workbookViewId="0">
      <selection activeCell="C123" sqref="C123:D131"/>
    </sheetView>
  </sheetViews>
  <sheetFormatPr defaultRowHeight="13.5" customHeight="1" outlineLevelRow="1"/>
  <cols>
    <col min="1" max="1" width="9.140625" style="376"/>
    <col min="2" max="2" width="36.140625" style="376" customWidth="1"/>
    <col min="3" max="3" width="10.5703125" style="376" customWidth="1"/>
    <col min="4" max="4" width="12.5703125" style="376" customWidth="1"/>
    <col min="5" max="5" width="10.140625" style="376" customWidth="1"/>
    <col min="6" max="6" width="12" style="376" customWidth="1"/>
    <col min="7" max="7" width="10.140625" style="376" customWidth="1"/>
    <col min="8" max="8" width="10.5703125" style="376" customWidth="1"/>
    <col min="9" max="9" width="9.7109375" style="376" customWidth="1"/>
    <col min="10" max="10" width="12.7109375" style="376" customWidth="1"/>
    <col min="11" max="11" width="11.140625" style="376" customWidth="1"/>
    <col min="12" max="12" width="9" style="376" customWidth="1"/>
    <col min="13" max="13" width="10.85546875" style="376" customWidth="1"/>
    <col min="14" max="16384" width="9.140625" style="376"/>
  </cols>
  <sheetData>
    <row r="2" spans="1:13" ht="13.5" customHeight="1">
      <c r="A2" s="376" t="s">
        <v>1763</v>
      </c>
      <c r="C2" s="376" t="s">
        <v>2681</v>
      </c>
    </row>
    <row r="3" spans="1:13" ht="13.5" customHeight="1" outlineLevel="1"/>
    <row r="4" spans="1:13" ht="39.75" customHeight="1" outlineLevel="1">
      <c r="B4" s="370"/>
      <c r="C4" s="370" t="s">
        <v>1556</v>
      </c>
      <c r="D4" s="370" t="s">
        <v>485</v>
      </c>
      <c r="E4" s="370" t="s">
        <v>499</v>
      </c>
      <c r="F4" s="370" t="s">
        <v>501</v>
      </c>
      <c r="G4" s="370" t="s">
        <v>1557</v>
      </c>
      <c r="H4" s="370" t="s">
        <v>1558</v>
      </c>
      <c r="I4" s="370" t="s">
        <v>1559</v>
      </c>
    </row>
    <row r="5" spans="1:13" ht="13.5" customHeight="1" outlineLevel="1">
      <c r="B5" s="371" t="s">
        <v>1560</v>
      </c>
      <c r="C5" s="372">
        <v>3</v>
      </c>
      <c r="D5" s="372">
        <v>4</v>
      </c>
      <c r="E5" s="372">
        <v>5</v>
      </c>
      <c r="F5" s="372">
        <v>6</v>
      </c>
      <c r="G5" s="372">
        <v>7</v>
      </c>
      <c r="H5" s="372">
        <v>8</v>
      </c>
      <c r="I5" s="372">
        <v>2</v>
      </c>
    </row>
    <row r="6" spans="1:13" ht="12" customHeight="1" outlineLevel="1">
      <c r="B6" s="252" t="s">
        <v>1561</v>
      </c>
      <c r="C6" s="252"/>
      <c r="D6" s="252"/>
      <c r="E6" s="252"/>
      <c r="F6" s="252"/>
      <c r="G6" s="252"/>
      <c r="H6" s="252"/>
      <c r="I6" s="252"/>
    </row>
    <row r="7" spans="1:13" ht="12" customHeight="1" outlineLevel="1">
      <c r="B7" s="253" t="s">
        <v>1756</v>
      </c>
      <c r="C7" s="373">
        <v>0</v>
      </c>
      <c r="D7" s="373">
        <v>47136.47</v>
      </c>
      <c r="E7" s="373">
        <v>0</v>
      </c>
      <c r="F7" s="373">
        <v>0</v>
      </c>
      <c r="G7" s="373">
        <v>0</v>
      </c>
      <c r="H7" s="373">
        <v>0</v>
      </c>
      <c r="I7" s="373">
        <f t="shared" ref="I7:I11" si="0">SUM(C7:H7)</f>
        <v>47136.47</v>
      </c>
    </row>
    <row r="8" spans="1:13" ht="12" customHeight="1" outlineLevel="1">
      <c r="B8" s="253" t="s">
        <v>1563</v>
      </c>
      <c r="C8" s="373">
        <v>0</v>
      </c>
      <c r="D8" s="373">
        <v>0</v>
      </c>
      <c r="E8" s="373">
        <v>0</v>
      </c>
      <c r="F8" s="373">
        <v>0</v>
      </c>
      <c r="G8" s="373">
        <v>0</v>
      </c>
      <c r="H8" s="373">
        <v>0</v>
      </c>
      <c r="I8" s="373">
        <f t="shared" si="0"/>
        <v>0</v>
      </c>
    </row>
    <row r="9" spans="1:13" ht="12" customHeight="1" outlineLevel="1">
      <c r="B9" s="253" t="s">
        <v>1564</v>
      </c>
      <c r="C9" s="373">
        <v>0</v>
      </c>
      <c r="D9" s="373">
        <v>0</v>
      </c>
      <c r="E9" s="373">
        <v>0</v>
      </c>
      <c r="F9" s="373">
        <v>0</v>
      </c>
      <c r="G9" s="373">
        <v>0</v>
      </c>
      <c r="H9" s="373">
        <v>0</v>
      </c>
      <c r="I9" s="373">
        <f t="shared" si="0"/>
        <v>0</v>
      </c>
    </row>
    <row r="10" spans="1:13" ht="12" customHeight="1" outlineLevel="1">
      <c r="B10" s="253" t="s">
        <v>2678</v>
      </c>
      <c r="C10" s="373">
        <v>0</v>
      </c>
      <c r="D10" s="373">
        <v>-47136.47</v>
      </c>
      <c r="E10" s="373">
        <v>0</v>
      </c>
      <c r="F10" s="373">
        <v>0</v>
      </c>
      <c r="G10" s="373">
        <v>0</v>
      </c>
      <c r="H10" s="373">
        <v>0</v>
      </c>
      <c r="I10" s="373">
        <f>SUM(C10:H10)</f>
        <v>-47136.47</v>
      </c>
    </row>
    <row r="11" spans="1:13" ht="12" customHeight="1" outlineLevel="1">
      <c r="B11" s="253" t="s">
        <v>1565</v>
      </c>
      <c r="C11" s="374">
        <v>0</v>
      </c>
      <c r="D11" s="374">
        <v>0</v>
      </c>
      <c r="E11" s="374">
        <v>0</v>
      </c>
      <c r="F11" s="374">
        <v>0</v>
      </c>
      <c r="G11" s="374">
        <v>0</v>
      </c>
      <c r="H11" s="374">
        <v>0</v>
      </c>
      <c r="I11" s="374">
        <f t="shared" si="0"/>
        <v>0</v>
      </c>
    </row>
    <row r="12" spans="1:13" ht="12" customHeight="1" outlineLevel="1">
      <c r="B12" s="253" t="s">
        <v>1757</v>
      </c>
      <c r="C12" s="373">
        <f t="shared" ref="C12:I12" si="1">+C7+C8-C9+C11+C10</f>
        <v>0</v>
      </c>
      <c r="D12" s="373">
        <f t="shared" si="1"/>
        <v>0</v>
      </c>
      <c r="E12" s="373">
        <f t="shared" si="1"/>
        <v>0</v>
      </c>
      <c r="F12" s="373">
        <f t="shared" si="1"/>
        <v>0</v>
      </c>
      <c r="G12" s="373">
        <f t="shared" si="1"/>
        <v>0</v>
      </c>
      <c r="H12" s="373">
        <f t="shared" si="1"/>
        <v>0</v>
      </c>
      <c r="I12" s="373">
        <f t="shared" si="1"/>
        <v>0</v>
      </c>
    </row>
    <row r="13" spans="1:13" ht="12" customHeight="1" outlineLevel="1">
      <c r="B13" s="253"/>
      <c r="C13" s="373"/>
      <c r="D13" s="373"/>
      <c r="E13" s="373"/>
      <c r="F13" s="373"/>
      <c r="G13" s="373"/>
      <c r="H13" s="373"/>
      <c r="I13" s="373"/>
    </row>
    <row r="14" spans="1:13" ht="12" customHeight="1" outlineLevel="1">
      <c r="B14" s="252" t="s">
        <v>1566</v>
      </c>
      <c r="C14" s="373"/>
      <c r="D14" s="373"/>
      <c r="E14" s="373"/>
      <c r="F14" s="373"/>
      <c r="G14" s="373"/>
      <c r="H14" s="373"/>
      <c r="I14" s="373"/>
    </row>
    <row r="15" spans="1:13" ht="12" customHeight="1" outlineLevel="1">
      <c r="B15" s="253" t="s">
        <v>1756</v>
      </c>
      <c r="C15" s="373">
        <v>0</v>
      </c>
      <c r="D15" s="373">
        <v>43011.47</v>
      </c>
      <c r="E15" s="373">
        <v>0</v>
      </c>
      <c r="F15" s="373">
        <v>0</v>
      </c>
      <c r="G15" s="373">
        <v>0</v>
      </c>
      <c r="H15" s="373">
        <v>0</v>
      </c>
      <c r="I15" s="373">
        <f t="shared" ref="I15" si="2">SUM(C15:H15)</f>
        <v>43011.47</v>
      </c>
    </row>
    <row r="16" spans="1:13" ht="12" customHeight="1" outlineLevel="1">
      <c r="B16" s="253" t="s">
        <v>1563</v>
      </c>
      <c r="C16" s="373">
        <v>0</v>
      </c>
      <c r="D16" s="373">
        <v>4125</v>
      </c>
      <c r="E16" s="373">
        <v>0</v>
      </c>
      <c r="F16" s="373">
        <v>0</v>
      </c>
      <c r="G16" s="373">
        <v>0</v>
      </c>
      <c r="H16" s="373">
        <v>0</v>
      </c>
      <c r="I16" s="373">
        <f>SUM(C16:H16)</f>
        <v>4125</v>
      </c>
      <c r="K16" s="475"/>
      <c r="L16" s="475"/>
      <c r="M16" s="544"/>
    </row>
    <row r="17" spans="2:13" ht="12" customHeight="1" outlineLevel="1">
      <c r="B17" s="253" t="s">
        <v>1564</v>
      </c>
      <c r="C17" s="383">
        <v>0</v>
      </c>
      <c r="D17" s="383">
        <f>+D9</f>
        <v>0</v>
      </c>
      <c r="E17" s="383">
        <v>0</v>
      </c>
      <c r="F17" s="383">
        <v>0</v>
      </c>
      <c r="G17" s="383">
        <v>0</v>
      </c>
      <c r="H17" s="383">
        <v>0</v>
      </c>
      <c r="I17" s="383">
        <f t="shared" ref="I17" si="3">SUM(C17:H17)</f>
        <v>0</v>
      </c>
      <c r="K17" s="475"/>
      <c r="L17" s="475"/>
      <c r="M17" s="475"/>
    </row>
    <row r="18" spans="2:13" ht="12" customHeight="1" outlineLevel="1">
      <c r="B18" s="253" t="s">
        <v>2678</v>
      </c>
      <c r="C18" s="374">
        <v>0</v>
      </c>
      <c r="D18" s="374">
        <f>+D10</f>
        <v>-47136.47</v>
      </c>
      <c r="E18" s="374">
        <v>0</v>
      </c>
      <c r="F18" s="374">
        <v>0</v>
      </c>
      <c r="G18" s="374">
        <v>0</v>
      </c>
      <c r="H18" s="374">
        <v>0</v>
      </c>
      <c r="I18" s="374">
        <f>SUM(C18:H18)</f>
        <v>-47136.47</v>
      </c>
      <c r="K18" s="475"/>
      <c r="L18" s="475"/>
      <c r="M18" s="475"/>
    </row>
    <row r="19" spans="2:13" ht="12" customHeight="1" outlineLevel="1">
      <c r="B19" s="253" t="s">
        <v>1757</v>
      </c>
      <c r="C19" s="373">
        <f>+C15+C16-C17+C18</f>
        <v>0</v>
      </c>
      <c r="D19" s="373">
        <f t="shared" ref="D19:I19" si="4">+D15+D16-D17+D18</f>
        <v>0</v>
      </c>
      <c r="E19" s="373">
        <f t="shared" si="4"/>
        <v>0</v>
      </c>
      <c r="F19" s="373">
        <f t="shared" si="4"/>
        <v>0</v>
      </c>
      <c r="G19" s="373">
        <f t="shared" si="4"/>
        <v>0</v>
      </c>
      <c r="H19" s="373">
        <f t="shared" si="4"/>
        <v>0</v>
      </c>
      <c r="I19" s="373">
        <f t="shared" si="4"/>
        <v>0</v>
      </c>
    </row>
    <row r="20" spans="2:13" ht="12" customHeight="1" outlineLevel="1">
      <c r="B20" s="253"/>
      <c r="C20" s="259"/>
      <c r="D20" s="259"/>
      <c r="E20" s="259"/>
      <c r="F20" s="259"/>
      <c r="G20" s="259"/>
      <c r="H20" s="259"/>
      <c r="I20" s="259"/>
    </row>
    <row r="21" spans="2:13" ht="12" customHeight="1" outlineLevel="1">
      <c r="B21" s="252" t="s">
        <v>1567</v>
      </c>
      <c r="C21" s="260"/>
      <c r="D21" s="260"/>
      <c r="E21" s="260"/>
      <c r="F21" s="260"/>
      <c r="G21" s="260"/>
      <c r="H21" s="260"/>
      <c r="I21" s="260"/>
    </row>
    <row r="22" spans="2:13" ht="12" customHeight="1" outlineLevel="1">
      <c r="B22" s="253" t="s">
        <v>1756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f t="shared" ref="I22:I24" si="5">SUM(C22:H22)</f>
        <v>0</v>
      </c>
    </row>
    <row r="23" spans="2:13" ht="12" customHeight="1" outlineLevel="1">
      <c r="B23" s="253" t="s">
        <v>1563</v>
      </c>
      <c r="C23" s="373">
        <v>0</v>
      </c>
      <c r="D23" s="373">
        <v>0</v>
      </c>
      <c r="E23" s="373">
        <v>0</v>
      </c>
      <c r="F23" s="373">
        <v>0</v>
      </c>
      <c r="G23" s="373">
        <v>0</v>
      </c>
      <c r="H23" s="373">
        <v>0</v>
      </c>
      <c r="I23" s="373">
        <f t="shared" si="5"/>
        <v>0</v>
      </c>
    </row>
    <row r="24" spans="2:13" ht="12" customHeight="1" outlineLevel="1">
      <c r="B24" s="253" t="s">
        <v>1564</v>
      </c>
      <c r="C24" s="374">
        <v>0</v>
      </c>
      <c r="D24" s="374">
        <v>0</v>
      </c>
      <c r="E24" s="374">
        <v>0</v>
      </c>
      <c r="F24" s="374">
        <v>0</v>
      </c>
      <c r="G24" s="374">
        <v>0</v>
      </c>
      <c r="H24" s="374">
        <v>0</v>
      </c>
      <c r="I24" s="374">
        <f t="shared" si="5"/>
        <v>0</v>
      </c>
    </row>
    <row r="25" spans="2:13" ht="12" customHeight="1" outlineLevel="1">
      <c r="B25" s="253" t="s">
        <v>1757</v>
      </c>
      <c r="C25" s="373">
        <f>+C22+C23-C24</f>
        <v>0</v>
      </c>
      <c r="D25" s="373">
        <f t="shared" ref="D25:I25" si="6">+D22+D23-D24</f>
        <v>0</v>
      </c>
      <c r="E25" s="373">
        <f t="shared" si="6"/>
        <v>0</v>
      </c>
      <c r="F25" s="373">
        <f t="shared" si="6"/>
        <v>0</v>
      </c>
      <c r="G25" s="373">
        <f t="shared" si="6"/>
        <v>0</v>
      </c>
      <c r="H25" s="373">
        <f t="shared" si="6"/>
        <v>0</v>
      </c>
      <c r="I25" s="373">
        <f t="shared" si="6"/>
        <v>0</v>
      </c>
    </row>
    <row r="26" spans="2:13" ht="12" customHeight="1" outlineLevel="1">
      <c r="B26" s="253"/>
      <c r="C26" s="259"/>
      <c r="D26" s="259"/>
      <c r="E26" s="259"/>
      <c r="F26" s="259"/>
      <c r="G26" s="259"/>
      <c r="H26" s="259"/>
      <c r="I26" s="259"/>
    </row>
    <row r="27" spans="2:13" ht="12" customHeight="1" outlineLevel="1">
      <c r="B27" s="252" t="s">
        <v>1568</v>
      </c>
      <c r="C27" s="260"/>
      <c r="D27" s="260"/>
      <c r="E27" s="260"/>
      <c r="F27" s="260"/>
      <c r="G27" s="260"/>
      <c r="H27" s="260"/>
      <c r="I27" s="260"/>
    </row>
    <row r="28" spans="2:13" ht="12.75" outlineLevel="1">
      <c r="B28" s="253" t="s">
        <v>1756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f t="shared" ref="I28" si="7">SUM(C28:H28)</f>
        <v>0</v>
      </c>
    </row>
    <row r="29" spans="2:13" ht="12.75" outlineLevel="1">
      <c r="B29" s="375" t="s">
        <v>1757</v>
      </c>
      <c r="C29" s="374">
        <f t="shared" ref="C29:I29" si="8">+C12-C19</f>
        <v>0</v>
      </c>
      <c r="D29" s="374">
        <f t="shared" si="8"/>
        <v>0</v>
      </c>
      <c r="E29" s="374">
        <f t="shared" si="8"/>
        <v>0</v>
      </c>
      <c r="F29" s="374">
        <f t="shared" si="8"/>
        <v>0</v>
      </c>
      <c r="G29" s="374">
        <f t="shared" si="8"/>
        <v>0</v>
      </c>
      <c r="H29" s="374">
        <f t="shared" si="8"/>
        <v>0</v>
      </c>
      <c r="I29" s="374">
        <f t="shared" si="8"/>
        <v>0</v>
      </c>
    </row>
    <row r="30" spans="2:13" ht="13.5" customHeight="1" outlineLevel="1">
      <c r="D30" s="377">
        <f>+osnova!G7</f>
        <v>0</v>
      </c>
    </row>
    <row r="31" spans="2:13" ht="13.5" customHeight="1" outlineLevel="1">
      <c r="D31" s="378">
        <f>+D12-D30</f>
        <v>0</v>
      </c>
    </row>
    <row r="32" spans="2:13" ht="13.5" customHeight="1" outlineLevel="1">
      <c r="D32" s="377">
        <f>-osnova!G45</f>
        <v>0</v>
      </c>
    </row>
    <row r="33" spans="1:18" ht="13.5" customHeight="1" outlineLevel="1">
      <c r="D33" s="378">
        <f>+D19-D32</f>
        <v>0</v>
      </c>
    </row>
    <row r="35" spans="1:18" ht="13.5" customHeight="1">
      <c r="A35" s="376" t="s">
        <v>1764</v>
      </c>
      <c r="C35" s="376" t="s">
        <v>2681</v>
      </c>
    </row>
    <row r="36" spans="1:18" ht="55.5" customHeight="1" outlineLevel="1">
      <c r="B36" s="379"/>
      <c r="C36" s="370" t="s">
        <v>511</v>
      </c>
      <c r="D36" s="370" t="s">
        <v>1569</v>
      </c>
      <c r="E36" s="370" t="s">
        <v>486</v>
      </c>
      <c r="F36" s="370" t="s">
        <v>504</v>
      </c>
      <c r="G36" s="370" t="s">
        <v>487</v>
      </c>
      <c r="H36" s="370" t="s">
        <v>505</v>
      </c>
      <c r="I36" s="370" t="s">
        <v>1570</v>
      </c>
      <c r="J36" s="370" t="s">
        <v>1571</v>
      </c>
      <c r="K36" s="370" t="s">
        <v>516</v>
      </c>
      <c r="L36" s="370" t="s">
        <v>1572</v>
      </c>
      <c r="M36" s="370" t="s">
        <v>301</v>
      </c>
    </row>
    <row r="37" spans="1:18" ht="13.5" customHeight="1" outlineLevel="1">
      <c r="B37" s="380" t="s">
        <v>1560</v>
      </c>
      <c r="C37" s="381">
        <v>10</v>
      </c>
      <c r="D37" s="381">
        <v>11</v>
      </c>
      <c r="E37" s="381">
        <v>12</v>
      </c>
      <c r="F37" s="381">
        <v>13</v>
      </c>
      <c r="G37" s="381">
        <v>14</v>
      </c>
      <c r="H37" s="381">
        <v>15</v>
      </c>
      <c r="I37" s="381">
        <v>16</v>
      </c>
      <c r="J37" s="381" t="s">
        <v>1766</v>
      </c>
      <c r="K37" s="381">
        <v>19</v>
      </c>
      <c r="L37" s="381">
        <v>20</v>
      </c>
      <c r="M37" s="381">
        <v>9</v>
      </c>
    </row>
    <row r="38" spans="1:18" ht="12" customHeight="1" outlineLevel="1">
      <c r="B38" s="252" t="s">
        <v>1561</v>
      </c>
      <c r="C38" s="254"/>
      <c r="D38" s="254"/>
      <c r="E38" s="591"/>
      <c r="F38" s="591"/>
      <c r="G38" s="591"/>
      <c r="H38" s="591"/>
      <c r="I38" s="591"/>
      <c r="J38" s="591"/>
      <c r="K38" s="591"/>
      <c r="L38" s="591"/>
      <c r="M38" s="591"/>
    </row>
    <row r="39" spans="1:18" ht="12" customHeight="1" outlineLevel="1">
      <c r="B39" s="253" t="s">
        <v>1756</v>
      </c>
      <c r="C39" s="373">
        <v>0</v>
      </c>
      <c r="D39" s="373">
        <v>0</v>
      </c>
      <c r="E39" s="590">
        <v>0</v>
      </c>
      <c r="F39" s="590">
        <v>65536.490000000005</v>
      </c>
      <c r="G39" s="590">
        <v>2850</v>
      </c>
      <c r="H39" s="590">
        <v>0</v>
      </c>
      <c r="I39" s="590">
        <v>0</v>
      </c>
      <c r="J39" s="590">
        <v>0</v>
      </c>
      <c r="K39" s="590">
        <v>0</v>
      </c>
      <c r="L39" s="590">
        <v>0</v>
      </c>
      <c r="M39" s="590">
        <f t="shared" ref="M39:M43" si="9">SUM(C39:L39)</f>
        <v>68386.490000000005</v>
      </c>
    </row>
    <row r="40" spans="1:18" ht="12" customHeight="1" outlineLevel="1">
      <c r="B40" s="253" t="s">
        <v>1563</v>
      </c>
      <c r="C40" s="373">
        <v>0</v>
      </c>
      <c r="D40" s="373">
        <v>0</v>
      </c>
      <c r="E40" s="590">
        <v>0</v>
      </c>
      <c r="F40" s="590">
        <v>0</v>
      </c>
      <c r="G40" s="590">
        <v>0</v>
      </c>
      <c r="H40" s="590">
        <v>0</v>
      </c>
      <c r="I40" s="590">
        <v>0</v>
      </c>
      <c r="J40" s="590">
        <v>0</v>
      </c>
      <c r="K40" s="590">
        <v>0</v>
      </c>
      <c r="L40" s="590">
        <v>0</v>
      </c>
      <c r="M40" s="590">
        <f t="shared" si="9"/>
        <v>0</v>
      </c>
    </row>
    <row r="41" spans="1:18" ht="12" customHeight="1" outlineLevel="1">
      <c r="B41" s="253" t="s">
        <v>1564</v>
      </c>
      <c r="C41" s="373">
        <v>0</v>
      </c>
      <c r="D41" s="373">
        <v>0</v>
      </c>
      <c r="E41" s="590">
        <v>0</v>
      </c>
      <c r="F41" s="590">
        <v>0</v>
      </c>
      <c r="G41" s="590">
        <v>0</v>
      </c>
      <c r="H41" s="590">
        <v>0</v>
      </c>
      <c r="I41" s="590">
        <v>0</v>
      </c>
      <c r="J41" s="590">
        <v>0</v>
      </c>
      <c r="K41" s="590">
        <v>0</v>
      </c>
      <c r="L41" s="590">
        <v>0</v>
      </c>
      <c r="M41" s="590">
        <f t="shared" si="9"/>
        <v>0</v>
      </c>
      <c r="O41" s="382"/>
    </row>
    <row r="42" spans="1:18" ht="12" customHeight="1" outlineLevel="1">
      <c r="B42" s="253" t="s">
        <v>2678</v>
      </c>
      <c r="C42" s="373">
        <v>0</v>
      </c>
      <c r="D42" s="373">
        <v>0</v>
      </c>
      <c r="E42" s="590">
        <v>0</v>
      </c>
      <c r="F42" s="590">
        <f>-65536.49-14006.52</f>
        <v>-79543.010000000009</v>
      </c>
      <c r="G42" s="590">
        <v>-2850</v>
      </c>
      <c r="H42" s="590">
        <v>0</v>
      </c>
      <c r="I42" s="590">
        <v>0</v>
      </c>
      <c r="J42" s="590">
        <v>-19626.330000000002</v>
      </c>
      <c r="K42" s="590">
        <v>0</v>
      </c>
      <c r="L42" s="590">
        <v>0</v>
      </c>
      <c r="M42" s="590">
        <f t="shared" si="9"/>
        <v>-102019.34000000001</v>
      </c>
      <c r="O42" s="382"/>
    </row>
    <row r="43" spans="1:18" ht="12" customHeight="1" outlineLevel="1">
      <c r="B43" s="253" t="s">
        <v>1565</v>
      </c>
      <c r="C43" s="374">
        <v>0</v>
      </c>
      <c r="D43" s="374">
        <v>0</v>
      </c>
      <c r="E43" s="464">
        <v>0</v>
      </c>
      <c r="F43" s="464">
        <v>14006.52</v>
      </c>
      <c r="G43" s="464">
        <v>0</v>
      </c>
      <c r="H43" s="464">
        <v>0</v>
      </c>
      <c r="I43" s="464">
        <v>0</v>
      </c>
      <c r="J43" s="464">
        <v>19626.330000000002</v>
      </c>
      <c r="K43" s="464">
        <v>0</v>
      </c>
      <c r="L43" s="464">
        <v>0</v>
      </c>
      <c r="M43" s="464">
        <f t="shared" si="9"/>
        <v>33632.850000000006</v>
      </c>
    </row>
    <row r="44" spans="1:18" ht="12" customHeight="1" outlineLevel="1">
      <c r="B44" s="253" t="s">
        <v>1757</v>
      </c>
      <c r="C44" s="373">
        <f>+C39+C40-C41+C42+C43</f>
        <v>0</v>
      </c>
      <c r="D44" s="373">
        <f t="shared" ref="D44:M44" si="10">+D39+D40-D41+D42+D43</f>
        <v>0</v>
      </c>
      <c r="E44" s="590">
        <f t="shared" si="10"/>
        <v>0</v>
      </c>
      <c r="F44" s="590">
        <f t="shared" si="10"/>
        <v>0</v>
      </c>
      <c r="G44" s="590">
        <f t="shared" si="10"/>
        <v>0</v>
      </c>
      <c r="H44" s="590">
        <f t="shared" si="10"/>
        <v>0</v>
      </c>
      <c r="I44" s="590">
        <f t="shared" si="10"/>
        <v>0</v>
      </c>
      <c r="J44" s="590">
        <f t="shared" si="10"/>
        <v>0</v>
      </c>
      <c r="K44" s="590">
        <f t="shared" si="10"/>
        <v>0</v>
      </c>
      <c r="L44" s="590">
        <f t="shared" si="10"/>
        <v>0</v>
      </c>
      <c r="M44" s="590">
        <f t="shared" si="10"/>
        <v>0</v>
      </c>
    </row>
    <row r="45" spans="1:18" ht="12" customHeight="1" outlineLevel="1">
      <c r="B45" s="253"/>
      <c r="C45" s="254"/>
      <c r="D45" s="254"/>
      <c r="E45" s="591"/>
      <c r="F45" s="591"/>
      <c r="G45" s="591"/>
      <c r="H45" s="591"/>
      <c r="I45" s="591"/>
      <c r="J45" s="591"/>
      <c r="K45" s="591"/>
      <c r="L45" s="591"/>
      <c r="M45" s="591"/>
    </row>
    <row r="46" spans="1:18" ht="12" customHeight="1" outlineLevel="1">
      <c r="B46" s="252" t="s">
        <v>1566</v>
      </c>
      <c r="C46" s="254"/>
      <c r="D46" s="254"/>
      <c r="E46" s="591"/>
      <c r="F46" s="591"/>
      <c r="G46" s="591"/>
      <c r="H46" s="591"/>
      <c r="I46" s="591"/>
      <c r="J46" s="591"/>
      <c r="K46" s="591"/>
      <c r="L46" s="591"/>
      <c r="M46" s="591"/>
    </row>
    <row r="47" spans="1:18" ht="12" customHeight="1" outlineLevel="1">
      <c r="B47" s="253" t="s">
        <v>1756</v>
      </c>
      <c r="C47" s="373">
        <v>0</v>
      </c>
      <c r="D47" s="373">
        <v>0</v>
      </c>
      <c r="E47" s="590">
        <v>0</v>
      </c>
      <c r="F47" s="590">
        <v>49942.17</v>
      </c>
      <c r="G47" s="590">
        <v>514.58000000000004</v>
      </c>
      <c r="H47" s="590">
        <v>0</v>
      </c>
      <c r="I47" s="590">
        <v>0</v>
      </c>
      <c r="J47" s="590">
        <v>0</v>
      </c>
      <c r="K47" s="590">
        <v>0</v>
      </c>
      <c r="L47" s="590">
        <v>0</v>
      </c>
      <c r="M47" s="590">
        <f>SUM(C47:L47)</f>
        <v>50456.75</v>
      </c>
    </row>
    <row r="48" spans="1:18" ht="12" customHeight="1" outlineLevel="1">
      <c r="B48" s="253" t="s">
        <v>1563</v>
      </c>
      <c r="C48" s="373">
        <v>0</v>
      </c>
      <c r="D48" s="373">
        <v>0</v>
      </c>
      <c r="E48" s="590">
        <v>0</v>
      </c>
      <c r="F48" s="590">
        <v>29600.84</v>
      </c>
      <c r="G48" s="590">
        <v>2335.42</v>
      </c>
      <c r="H48" s="590">
        <v>0</v>
      </c>
      <c r="I48" s="590">
        <v>0</v>
      </c>
      <c r="J48" s="590">
        <v>19626.330000000002</v>
      </c>
      <c r="K48" s="590">
        <v>0</v>
      </c>
      <c r="L48" s="590">
        <v>0</v>
      </c>
      <c r="M48" s="590">
        <f t="shared" ref="M48:M50" si="11">SUM(C48:L48)</f>
        <v>51562.590000000004</v>
      </c>
      <c r="P48" s="698"/>
      <c r="Q48" s="698"/>
      <c r="R48" s="698"/>
    </row>
    <row r="49" spans="2:18" ht="12" customHeight="1" outlineLevel="1">
      <c r="B49" s="253" t="s">
        <v>1564</v>
      </c>
      <c r="C49" s="373">
        <v>0</v>
      </c>
      <c r="D49" s="373">
        <v>0</v>
      </c>
      <c r="E49" s="590">
        <v>0</v>
      </c>
      <c r="F49" s="590">
        <v>0</v>
      </c>
      <c r="G49" s="590">
        <v>0</v>
      </c>
      <c r="H49" s="590">
        <v>0</v>
      </c>
      <c r="I49" s="590">
        <v>0</v>
      </c>
      <c r="J49" s="590">
        <v>0</v>
      </c>
      <c r="K49" s="590">
        <v>0</v>
      </c>
      <c r="L49" s="590">
        <v>0</v>
      </c>
      <c r="M49" s="590">
        <f t="shared" si="11"/>
        <v>0</v>
      </c>
      <c r="P49" s="545"/>
      <c r="Q49" s="545"/>
      <c r="R49" s="475"/>
    </row>
    <row r="50" spans="2:18" ht="12" customHeight="1" outlineLevel="1">
      <c r="B50" s="253" t="s">
        <v>2678</v>
      </c>
      <c r="C50" s="374">
        <v>0</v>
      </c>
      <c r="D50" s="374">
        <v>0</v>
      </c>
      <c r="E50" s="464">
        <v>0</v>
      </c>
      <c r="F50" s="464">
        <f>+F42</f>
        <v>-79543.010000000009</v>
      </c>
      <c r="G50" s="464">
        <f>+G42</f>
        <v>-2850</v>
      </c>
      <c r="H50" s="464">
        <v>0</v>
      </c>
      <c r="I50" s="464">
        <v>0</v>
      </c>
      <c r="J50" s="464">
        <f>+J42</f>
        <v>-19626.330000000002</v>
      </c>
      <c r="K50" s="464">
        <v>0</v>
      </c>
      <c r="L50" s="464">
        <v>0</v>
      </c>
      <c r="M50" s="464">
        <f t="shared" si="11"/>
        <v>-102019.34000000001</v>
      </c>
    </row>
    <row r="51" spans="2:18" ht="12" customHeight="1" outlineLevel="1">
      <c r="B51" s="253" t="s">
        <v>1757</v>
      </c>
      <c r="C51" s="373">
        <f>C47+C48-C49+C50</f>
        <v>0</v>
      </c>
      <c r="D51" s="373">
        <f t="shared" ref="D51:M51" si="12">D47+D48-D49+D50</f>
        <v>0</v>
      </c>
      <c r="E51" s="590">
        <f t="shared" si="12"/>
        <v>0</v>
      </c>
      <c r="F51" s="590">
        <f t="shared" si="12"/>
        <v>0</v>
      </c>
      <c r="G51" s="590">
        <f t="shared" si="12"/>
        <v>0</v>
      </c>
      <c r="H51" s="590">
        <f t="shared" si="12"/>
        <v>0</v>
      </c>
      <c r="I51" s="590">
        <f t="shared" si="12"/>
        <v>0</v>
      </c>
      <c r="J51" s="590">
        <f t="shared" si="12"/>
        <v>0</v>
      </c>
      <c r="K51" s="590">
        <f t="shared" si="12"/>
        <v>0</v>
      </c>
      <c r="L51" s="590">
        <f t="shared" si="12"/>
        <v>0</v>
      </c>
      <c r="M51" s="590">
        <f t="shared" si="12"/>
        <v>0</v>
      </c>
    </row>
    <row r="52" spans="2:18" ht="12" customHeight="1" outlineLevel="1">
      <c r="B52" s="253"/>
      <c r="C52" s="254"/>
      <c r="D52" s="254"/>
      <c r="E52" s="591"/>
      <c r="F52" s="591"/>
      <c r="G52" s="591"/>
      <c r="H52" s="591"/>
      <c r="I52" s="591"/>
      <c r="J52" s="591"/>
      <c r="K52" s="591"/>
      <c r="L52" s="591"/>
      <c r="M52" s="591"/>
    </row>
    <row r="53" spans="2:18" ht="12" customHeight="1" outlineLevel="1">
      <c r="B53" s="252" t="s">
        <v>1567</v>
      </c>
      <c r="C53" s="254"/>
      <c r="D53" s="254"/>
      <c r="E53" s="591"/>
      <c r="F53" s="591"/>
      <c r="G53" s="591"/>
      <c r="H53" s="591"/>
      <c r="I53" s="591"/>
      <c r="J53" s="591"/>
      <c r="K53" s="591"/>
      <c r="L53" s="591"/>
      <c r="M53" s="591"/>
    </row>
    <row r="54" spans="2:18" ht="12" customHeight="1" outlineLevel="1">
      <c r="B54" s="253" t="s">
        <v>1756</v>
      </c>
      <c r="C54" s="373">
        <v>0</v>
      </c>
      <c r="D54" s="373">
        <v>0</v>
      </c>
      <c r="E54" s="590">
        <v>0</v>
      </c>
      <c r="F54" s="590">
        <v>0</v>
      </c>
      <c r="G54" s="590">
        <v>0</v>
      </c>
      <c r="H54" s="590">
        <v>0</v>
      </c>
      <c r="I54" s="590">
        <v>0</v>
      </c>
      <c r="J54" s="590">
        <v>0</v>
      </c>
      <c r="K54" s="590">
        <v>0</v>
      </c>
      <c r="L54" s="590">
        <v>0</v>
      </c>
      <c r="M54" s="590">
        <f>SUM(C54:L54)</f>
        <v>0</v>
      </c>
    </row>
    <row r="55" spans="2:18" ht="12" customHeight="1" outlineLevel="1">
      <c r="B55" s="253" t="s">
        <v>1563</v>
      </c>
      <c r="C55" s="373">
        <v>0</v>
      </c>
      <c r="D55" s="373">
        <v>0</v>
      </c>
      <c r="E55" s="590">
        <v>0</v>
      </c>
      <c r="F55" s="590">
        <v>0</v>
      </c>
      <c r="G55" s="590">
        <v>0</v>
      </c>
      <c r="H55" s="590">
        <v>0</v>
      </c>
      <c r="I55" s="590">
        <v>0</v>
      </c>
      <c r="J55" s="590">
        <v>0</v>
      </c>
      <c r="K55" s="590">
        <v>0</v>
      </c>
      <c r="L55" s="590">
        <v>0</v>
      </c>
      <c r="M55" s="590">
        <f t="shared" ref="M55" si="13">SUM(C55:L55)</f>
        <v>0</v>
      </c>
    </row>
    <row r="56" spans="2:18" ht="12" customHeight="1" outlineLevel="1">
      <c r="B56" s="253" t="s">
        <v>1564</v>
      </c>
      <c r="C56" s="374">
        <v>0</v>
      </c>
      <c r="D56" s="374">
        <v>0</v>
      </c>
      <c r="E56" s="464">
        <v>0</v>
      </c>
      <c r="F56" s="464">
        <v>0</v>
      </c>
      <c r="G56" s="464">
        <v>0</v>
      </c>
      <c r="H56" s="464">
        <v>0</v>
      </c>
      <c r="I56" s="464">
        <v>0</v>
      </c>
      <c r="J56" s="464">
        <v>0</v>
      </c>
      <c r="K56" s="464">
        <v>0</v>
      </c>
      <c r="L56" s="464">
        <v>0</v>
      </c>
      <c r="M56" s="464">
        <f>SUM(C56:L56)</f>
        <v>0</v>
      </c>
    </row>
    <row r="57" spans="2:18" ht="12" customHeight="1" outlineLevel="1">
      <c r="B57" s="253" t="s">
        <v>1757</v>
      </c>
      <c r="C57" s="383">
        <f>+C54+C55-C56</f>
        <v>0</v>
      </c>
      <c r="D57" s="383">
        <f t="shared" ref="D57:M57" si="14">+D54+D55-D56</f>
        <v>0</v>
      </c>
      <c r="E57" s="481">
        <f t="shared" si="14"/>
        <v>0</v>
      </c>
      <c r="F57" s="481">
        <f t="shared" si="14"/>
        <v>0</v>
      </c>
      <c r="G57" s="481">
        <f t="shared" si="14"/>
        <v>0</v>
      </c>
      <c r="H57" s="481">
        <f t="shared" si="14"/>
        <v>0</v>
      </c>
      <c r="I57" s="481">
        <f t="shared" si="14"/>
        <v>0</v>
      </c>
      <c r="J57" s="481">
        <f t="shared" si="14"/>
        <v>0</v>
      </c>
      <c r="K57" s="481">
        <f t="shared" si="14"/>
        <v>0</v>
      </c>
      <c r="L57" s="481">
        <f t="shared" si="14"/>
        <v>0</v>
      </c>
      <c r="M57" s="481">
        <f t="shared" si="14"/>
        <v>0</v>
      </c>
    </row>
    <row r="58" spans="2:18" ht="12" customHeight="1" outlineLevel="1">
      <c r="B58" s="253"/>
      <c r="C58" s="254"/>
      <c r="D58" s="254"/>
      <c r="E58" s="591"/>
      <c r="F58" s="591"/>
      <c r="G58" s="591"/>
      <c r="H58" s="591"/>
      <c r="I58" s="591"/>
      <c r="J58" s="591"/>
      <c r="K58" s="591"/>
      <c r="L58" s="591"/>
      <c r="M58" s="591"/>
    </row>
    <row r="59" spans="2:18" ht="12" customHeight="1" outlineLevel="1">
      <c r="B59" s="252" t="s">
        <v>1568</v>
      </c>
      <c r="C59" s="254"/>
      <c r="D59" s="254"/>
      <c r="E59" s="591"/>
      <c r="F59" s="591"/>
      <c r="G59" s="591"/>
      <c r="H59" s="591"/>
      <c r="I59" s="591"/>
      <c r="J59" s="591"/>
      <c r="K59" s="591"/>
      <c r="L59" s="591"/>
      <c r="M59" s="591"/>
    </row>
    <row r="60" spans="2:18" ht="12" customHeight="1" outlineLevel="1">
      <c r="B60" s="253" t="s">
        <v>1756</v>
      </c>
      <c r="C60" s="384">
        <f t="shared" ref="C60:M60" si="15">+C39-C47-C54</f>
        <v>0</v>
      </c>
      <c r="D60" s="384">
        <f t="shared" si="15"/>
        <v>0</v>
      </c>
      <c r="E60" s="589">
        <f t="shared" si="15"/>
        <v>0</v>
      </c>
      <c r="F60" s="464">
        <f t="shared" si="15"/>
        <v>15594.320000000007</v>
      </c>
      <c r="G60" s="464">
        <f t="shared" si="15"/>
        <v>2335.42</v>
      </c>
      <c r="H60" s="464">
        <f t="shared" si="15"/>
        <v>0</v>
      </c>
      <c r="I60" s="464">
        <f t="shared" si="15"/>
        <v>0</v>
      </c>
      <c r="J60" s="464">
        <f t="shared" si="15"/>
        <v>0</v>
      </c>
      <c r="K60" s="464">
        <f t="shared" si="15"/>
        <v>0</v>
      </c>
      <c r="L60" s="464">
        <f t="shared" si="15"/>
        <v>0</v>
      </c>
      <c r="M60" s="464">
        <f t="shared" si="15"/>
        <v>17929.740000000005</v>
      </c>
    </row>
    <row r="61" spans="2:18" ht="12" customHeight="1" outlineLevel="1">
      <c r="B61" s="375" t="s">
        <v>1757</v>
      </c>
      <c r="C61" s="374">
        <f t="shared" ref="C61:M61" si="16">+C44-C51-C57</f>
        <v>0</v>
      </c>
      <c r="D61" s="374">
        <f t="shared" si="16"/>
        <v>0</v>
      </c>
      <c r="E61" s="374">
        <f t="shared" si="16"/>
        <v>0</v>
      </c>
      <c r="F61" s="374">
        <f t="shared" si="16"/>
        <v>0</v>
      </c>
      <c r="G61" s="374">
        <f t="shared" si="16"/>
        <v>0</v>
      </c>
      <c r="H61" s="374">
        <f t="shared" si="16"/>
        <v>0</v>
      </c>
      <c r="I61" s="374">
        <f t="shared" si="16"/>
        <v>0</v>
      </c>
      <c r="J61" s="374">
        <f t="shared" si="16"/>
        <v>0</v>
      </c>
      <c r="K61" s="374">
        <f t="shared" si="16"/>
        <v>0</v>
      </c>
      <c r="L61" s="374">
        <f t="shared" si="16"/>
        <v>0</v>
      </c>
      <c r="M61" s="374">
        <f t="shared" si="16"/>
        <v>0</v>
      </c>
    </row>
    <row r="62" spans="2:18" ht="13.5" customHeight="1" outlineLevel="1">
      <c r="E62" s="377">
        <f>+súvaha_vykaz!D17</f>
        <v>0</v>
      </c>
      <c r="F62" s="377">
        <f>+súvaha_vykaz!D18</f>
        <v>0</v>
      </c>
      <c r="G62" s="377">
        <f>+súvaha_vykaz!D19</f>
        <v>0</v>
      </c>
      <c r="J62" s="377">
        <f>+súvaha_vykaz!D23+súvaha_vykaz!D22</f>
        <v>0</v>
      </c>
      <c r="K62" s="377">
        <f>+súvaha_vykaz!D24</f>
        <v>0</v>
      </c>
      <c r="M62" s="377">
        <f>+súvaha_vykaz!F14</f>
        <v>0</v>
      </c>
    </row>
    <row r="63" spans="2:18" ht="13.5" customHeight="1" outlineLevel="1">
      <c r="E63" s="378">
        <f>+E44-E62</f>
        <v>0</v>
      </c>
      <c r="F63" s="378">
        <f>+F44-F62</f>
        <v>0</v>
      </c>
      <c r="G63" s="378">
        <f>+G44-G62</f>
        <v>0</v>
      </c>
      <c r="J63" s="378">
        <f>+J44-J62</f>
        <v>0</v>
      </c>
      <c r="K63" s="378">
        <f>+K44-K62</f>
        <v>0</v>
      </c>
      <c r="M63" s="378">
        <f>+M61-M62</f>
        <v>0</v>
      </c>
    </row>
    <row r="64" spans="2:18" ht="13.5" customHeight="1" outlineLevel="1">
      <c r="E64" s="377">
        <f>+súvaha_vykaz!E17</f>
        <v>0</v>
      </c>
      <c r="F64" s="377">
        <f>+súvaha_vykaz!E18</f>
        <v>0</v>
      </c>
      <c r="G64" s="377">
        <f>+súvaha_vykaz!E19</f>
        <v>0</v>
      </c>
      <c r="J64" s="377">
        <f>+súvaha_vykaz!E23+súvaha_vykaz!E22</f>
        <v>0</v>
      </c>
    </row>
    <row r="65" spans="1:10" ht="13.5" customHeight="1" outlineLevel="1">
      <c r="E65" s="378">
        <f>+E51-E64</f>
        <v>0</v>
      </c>
      <c r="F65" s="378">
        <f>+F51-F64</f>
        <v>0</v>
      </c>
      <c r="G65" s="378">
        <f>+G51-G64</f>
        <v>0</v>
      </c>
      <c r="J65" s="378">
        <f>+J51-J64</f>
        <v>0</v>
      </c>
    </row>
    <row r="66" spans="1:10" ht="13.5" customHeight="1" outlineLevel="1"/>
    <row r="67" spans="1:10" ht="13.5" customHeight="1" outlineLevel="1">
      <c r="C67" s="385"/>
      <c r="D67" s="385"/>
      <c r="E67" s="385"/>
    </row>
    <row r="68" spans="1:10" ht="13.5" customHeight="1" outlineLevel="1">
      <c r="B68" s="376" t="s">
        <v>3074</v>
      </c>
      <c r="C68" s="377">
        <f>+I16+M48</f>
        <v>55687.590000000004</v>
      </c>
    </row>
    <row r="69" spans="1:10" ht="13.5" customHeight="1" outlineLevel="1">
      <c r="B69" s="376" t="s">
        <v>2679</v>
      </c>
      <c r="C69" s="377">
        <f>+osnova!G333</f>
        <v>5560.86</v>
      </c>
      <c r="D69" s="377"/>
      <c r="E69" s="377"/>
      <c r="F69" s="377"/>
    </row>
    <row r="70" spans="1:10" ht="13.5" customHeight="1" outlineLevel="1">
      <c r="B70" s="376" t="s">
        <v>2680</v>
      </c>
      <c r="C70" s="377">
        <f>+osnova!G334</f>
        <v>50126.73</v>
      </c>
      <c r="D70" s="377"/>
      <c r="E70" s="377"/>
      <c r="F70" s="377"/>
    </row>
    <row r="71" spans="1:10" ht="13.5" customHeight="1" outlineLevel="1">
      <c r="B71" s="376" t="s">
        <v>1574</v>
      </c>
      <c r="C71" s="592">
        <f>+C68-C69-C70</f>
        <v>0</v>
      </c>
    </row>
    <row r="72" spans="1:10" ht="13.5" customHeight="1" outlineLevel="1"/>
    <row r="74" spans="1:10" ht="13.5" customHeight="1">
      <c r="A74" s="376" t="s">
        <v>1765</v>
      </c>
      <c r="C74" s="376" t="s">
        <v>1768</v>
      </c>
    </row>
    <row r="75" spans="1:10" ht="13.5" hidden="1" customHeight="1" outlineLevel="1">
      <c r="B75" s="386"/>
      <c r="C75" s="387">
        <v>42004</v>
      </c>
      <c r="D75" s="387">
        <v>41639</v>
      </c>
    </row>
    <row r="76" spans="1:10" ht="13.5" hidden="1" customHeight="1" outlineLevel="1">
      <c r="B76" s="252" t="s">
        <v>597</v>
      </c>
      <c r="C76" s="254"/>
      <c r="D76" s="254"/>
    </row>
    <row r="77" spans="1:10" ht="13.5" hidden="1" customHeight="1" outlineLevel="1">
      <c r="B77" s="253" t="s">
        <v>583</v>
      </c>
      <c r="C77" s="383">
        <f>+osnova!G116</f>
        <v>0</v>
      </c>
      <c r="D77" s="383">
        <v>2744.06</v>
      </c>
    </row>
    <row r="78" spans="1:10" ht="13.5" hidden="1" customHeight="1" outlineLevel="1">
      <c r="B78" s="253" t="s">
        <v>584</v>
      </c>
      <c r="C78" s="383">
        <f>+osnova!G117</f>
        <v>0</v>
      </c>
      <c r="D78" s="383">
        <v>0</v>
      </c>
    </row>
    <row r="79" spans="1:10" ht="13.5" hidden="1" customHeight="1" outlineLevel="1">
      <c r="B79" s="253" t="s">
        <v>589</v>
      </c>
      <c r="C79" s="383">
        <f>+osnova!G121</f>
        <v>0</v>
      </c>
      <c r="D79" s="383">
        <f>+súvaha_vykaz!G63</f>
        <v>1959.54</v>
      </c>
    </row>
    <row r="80" spans="1:10" ht="13.5" hidden="1" customHeight="1" outlineLevel="1">
      <c r="B80" s="253" t="s">
        <v>1575</v>
      </c>
      <c r="C80" s="383">
        <v>0</v>
      </c>
      <c r="D80" s="383">
        <v>0</v>
      </c>
    </row>
    <row r="81" spans="1:7" ht="13.5" hidden="1" customHeight="1" outlineLevel="1">
      <c r="B81" s="253" t="s">
        <v>606</v>
      </c>
      <c r="C81" s="374">
        <f>+osnova!G141</f>
        <v>0</v>
      </c>
      <c r="D81" s="374">
        <v>0</v>
      </c>
    </row>
    <row r="82" spans="1:7" ht="13.5" hidden="1" customHeight="1" outlineLevel="1">
      <c r="B82" s="389" t="s">
        <v>301</v>
      </c>
      <c r="C82" s="423">
        <f>SUM(C77:C81)</f>
        <v>0</v>
      </c>
      <c r="D82" s="546">
        <f>SUM(D77:D81)</f>
        <v>4703.6000000000004</v>
      </c>
    </row>
    <row r="83" spans="1:7" ht="13.5" hidden="1" customHeight="1" outlineLevel="1">
      <c r="C83" s="377">
        <f>+súvaha_vykaz!F61</f>
        <v>0</v>
      </c>
      <c r="D83" s="377">
        <f>+súvaha_vykaz!G61</f>
        <v>4703.6000000000004</v>
      </c>
    </row>
    <row r="84" spans="1:7" ht="13.5" hidden="1" customHeight="1" outlineLevel="1">
      <c r="C84" s="378">
        <f>+C82-C83</f>
        <v>0</v>
      </c>
      <c r="D84" s="378">
        <f>+D82-D83</f>
        <v>0</v>
      </c>
    </row>
    <row r="85" spans="1:7" ht="13.5" customHeight="1" collapsed="1"/>
    <row r="86" spans="1:7" ht="13.5" customHeight="1">
      <c r="A86" s="376" t="s">
        <v>1767</v>
      </c>
      <c r="C86" s="475" t="s">
        <v>3011</v>
      </c>
    </row>
    <row r="87" spans="1:7" ht="13.5" hidden="1" customHeight="1" outlineLevel="1">
      <c r="B87" s="701"/>
      <c r="C87" s="390" t="s">
        <v>1576</v>
      </c>
      <c r="D87" s="699" t="s">
        <v>1577</v>
      </c>
      <c r="E87" s="699" t="s">
        <v>1578</v>
      </c>
      <c r="F87" s="522" t="s">
        <v>1579</v>
      </c>
      <c r="G87" s="390" t="s">
        <v>1576</v>
      </c>
    </row>
    <row r="88" spans="1:7" ht="12.75" hidden="1" outlineLevel="1">
      <c r="B88" s="702"/>
      <c r="C88" s="393" t="s">
        <v>1737</v>
      </c>
      <c r="D88" s="700"/>
      <c r="E88" s="700"/>
      <c r="F88" s="523" t="s">
        <v>1580</v>
      </c>
      <c r="G88" s="393" t="s">
        <v>1738</v>
      </c>
    </row>
    <row r="89" spans="1:7" ht="13.5" hidden="1" customHeight="1" outlineLevel="1">
      <c r="B89" s="252"/>
      <c r="C89" s="252"/>
      <c r="D89" s="252"/>
      <c r="E89" s="252"/>
      <c r="F89" s="252"/>
      <c r="G89" s="252"/>
    </row>
    <row r="90" spans="1:7" ht="13.5" hidden="1" customHeight="1" outlineLevel="1">
      <c r="B90" s="253" t="s">
        <v>1581</v>
      </c>
      <c r="C90" s="373">
        <v>6519.78</v>
      </c>
      <c r="D90" s="373">
        <v>1809.66</v>
      </c>
      <c r="E90" s="373">
        <v>360.59</v>
      </c>
      <c r="F90" s="373">
        <f>D90-D95</f>
        <v>2033.8100000000002</v>
      </c>
      <c r="G90" s="373">
        <f>+C90+D90-E90-F90</f>
        <v>5935.04</v>
      </c>
    </row>
    <row r="91" spans="1:7" ht="13.5" hidden="1" customHeight="1" outlineLevel="1">
      <c r="B91" s="253" t="s">
        <v>617</v>
      </c>
      <c r="C91" s="373">
        <v>0</v>
      </c>
      <c r="D91" s="373">
        <v>0</v>
      </c>
      <c r="E91" s="373">
        <v>0</v>
      </c>
      <c r="F91" s="373">
        <v>0</v>
      </c>
      <c r="G91" s="373">
        <f>+C91+D91-E91-F91</f>
        <v>0</v>
      </c>
    </row>
    <row r="92" spans="1:7" ht="13.5" hidden="1" customHeight="1" outlineLevel="1">
      <c r="B92" s="253" t="s">
        <v>641</v>
      </c>
      <c r="C92" s="373">
        <v>0</v>
      </c>
      <c r="D92" s="373">
        <v>0</v>
      </c>
      <c r="E92" s="373">
        <v>0</v>
      </c>
      <c r="F92" s="373">
        <v>0</v>
      </c>
      <c r="G92" s="373">
        <f>+C92+D92-E92-F92</f>
        <v>0</v>
      </c>
    </row>
    <row r="93" spans="1:7" ht="13.5" hidden="1" customHeight="1" outlineLevel="1">
      <c r="B93" s="253" t="s">
        <v>650</v>
      </c>
      <c r="C93" s="383">
        <v>0</v>
      </c>
      <c r="D93" s="383">
        <v>0</v>
      </c>
      <c r="E93" s="383">
        <v>0</v>
      </c>
      <c r="F93" s="383">
        <v>0</v>
      </c>
      <c r="G93" s="374">
        <f>+C93+D93-E93-F93</f>
        <v>0</v>
      </c>
    </row>
    <row r="94" spans="1:7" ht="13.5" hidden="1" customHeight="1" outlineLevel="1">
      <c r="B94" s="389" t="s">
        <v>301</v>
      </c>
      <c r="C94" s="395">
        <f t="shared" ref="C94" si="17">SUM(C89:C93)</f>
        <v>6519.78</v>
      </c>
      <c r="D94" s="395">
        <f>SUM(D89:D93)</f>
        <v>1809.66</v>
      </c>
      <c r="E94" s="395">
        <f>SUM(E89:E93)</f>
        <v>360.59</v>
      </c>
      <c r="F94" s="395">
        <f>SUM(F89:F93)</f>
        <v>2033.8100000000002</v>
      </c>
      <c r="G94" s="395">
        <f>SUM(G89:G93)</f>
        <v>5935.04</v>
      </c>
    </row>
    <row r="95" spans="1:7" ht="13.5" hidden="1" customHeight="1" outlineLevel="1">
      <c r="D95" s="377">
        <f>+'HK 2014'!L267+'HK 2014'!L268</f>
        <v>-224.15000000000009</v>
      </c>
      <c r="G95" s="377">
        <f>+súvaha_vykaz!E53</f>
        <v>5935.04</v>
      </c>
    </row>
    <row r="96" spans="1:7" ht="13.5" hidden="1" customHeight="1" outlineLevel="1">
      <c r="D96" s="547"/>
      <c r="G96" s="378">
        <f>+G94-G95</f>
        <v>0</v>
      </c>
    </row>
    <row r="97" spans="1:9" ht="13.5" customHeight="1" collapsed="1"/>
    <row r="98" spans="1:9" ht="13.5" customHeight="1">
      <c r="A98" s="376" t="s">
        <v>1769</v>
      </c>
      <c r="C98" s="376" t="s">
        <v>1768</v>
      </c>
    </row>
    <row r="99" spans="1:9" ht="13.5" customHeight="1" outlineLevel="1">
      <c r="B99" s="386"/>
      <c r="C99" s="387">
        <v>42004</v>
      </c>
      <c r="D99" s="387">
        <v>41639</v>
      </c>
    </row>
    <row r="100" spans="1:9" ht="13.5" customHeight="1" outlineLevel="1">
      <c r="B100" s="252"/>
      <c r="C100" s="252"/>
      <c r="D100" s="252"/>
    </row>
    <row r="101" spans="1:9" ht="12.75" outlineLevel="1">
      <c r="B101" s="253" t="s">
        <v>1582</v>
      </c>
      <c r="C101" s="373">
        <f>+E119</f>
        <v>163775.29999999999</v>
      </c>
      <c r="D101" s="373">
        <v>1829733.82</v>
      </c>
    </row>
    <row r="102" spans="1:9" ht="13.5" customHeight="1" outlineLevel="1">
      <c r="B102" s="253" t="s">
        <v>1583</v>
      </c>
      <c r="C102" s="373">
        <f>SUM(C103:C106)</f>
        <v>22830.300000000003</v>
      </c>
      <c r="D102" s="373">
        <v>57346.02</v>
      </c>
    </row>
    <row r="103" spans="1:9" ht="13.5" customHeight="1" outlineLevel="1">
      <c r="B103" s="396" t="s">
        <v>1772</v>
      </c>
      <c r="C103" s="373">
        <f>+F119</f>
        <v>0</v>
      </c>
      <c r="D103" s="373">
        <v>22717.08</v>
      </c>
    </row>
    <row r="104" spans="1:9" ht="13.5" customHeight="1" outlineLevel="1">
      <c r="B104" s="396" t="s">
        <v>1773</v>
      </c>
      <c r="C104" s="373">
        <f>+G119</f>
        <v>7651.98</v>
      </c>
      <c r="D104" s="373">
        <v>14452.31</v>
      </c>
    </row>
    <row r="105" spans="1:9" ht="13.5" customHeight="1" outlineLevel="1">
      <c r="B105" s="396" t="s">
        <v>1774</v>
      </c>
      <c r="C105" s="373">
        <f>+H119</f>
        <v>9243.2800000000007</v>
      </c>
      <c r="D105" s="373">
        <v>13656.85</v>
      </c>
    </row>
    <row r="106" spans="1:9" ht="13.5" customHeight="1" outlineLevel="1">
      <c r="B106" s="396" t="s">
        <v>1775</v>
      </c>
      <c r="C106" s="383">
        <f>+I119</f>
        <v>5935.0399999999991</v>
      </c>
      <c r="D106" s="383">
        <v>6519.78</v>
      </c>
    </row>
    <row r="107" spans="1:9" ht="13.5" customHeight="1" outlineLevel="1">
      <c r="B107" s="389" t="s">
        <v>301</v>
      </c>
      <c r="C107" s="395">
        <f>+C101+C102</f>
        <v>186605.59999999998</v>
      </c>
      <c r="D107" s="395">
        <f>+D101+D102</f>
        <v>1887079.84</v>
      </c>
    </row>
    <row r="108" spans="1:9" ht="13.5" customHeight="1" outlineLevel="1">
      <c r="C108" s="377">
        <f>+súvaha_vykaz!D52</f>
        <v>186605.59999999998</v>
      </c>
      <c r="D108" s="377"/>
    </row>
    <row r="109" spans="1:9" ht="13.5" customHeight="1" outlineLevel="1">
      <c r="C109" s="378">
        <f>+C107-C108</f>
        <v>0</v>
      </c>
    </row>
    <row r="110" spans="1:9" ht="13.5" customHeight="1" outlineLevel="1">
      <c r="E110" s="397" t="s">
        <v>1584</v>
      </c>
      <c r="F110" s="397" t="s">
        <v>1585</v>
      </c>
      <c r="G110" s="397" t="s">
        <v>1586</v>
      </c>
      <c r="H110" s="397" t="s">
        <v>1587</v>
      </c>
      <c r="I110" s="397" t="s">
        <v>1588</v>
      </c>
    </row>
    <row r="111" spans="1:9" ht="13.5" customHeight="1" outlineLevel="1">
      <c r="B111" s="398" t="s">
        <v>74</v>
      </c>
      <c r="C111" s="398" t="s">
        <v>84</v>
      </c>
      <c r="D111" s="399">
        <f>+súvaha_vykaz!D53</f>
        <v>24079.440000000002</v>
      </c>
      <c r="E111" s="400">
        <f>D111-SUM(F111:I111)</f>
        <v>1249.1399999999994</v>
      </c>
      <c r="F111" s="400">
        <f>+'311 ageing'!O2</f>
        <v>0</v>
      </c>
      <c r="G111" s="400">
        <f>+'311 ageing'!P2</f>
        <v>7651.98</v>
      </c>
      <c r="H111" s="400">
        <f>+'311 ageing'!Q2</f>
        <v>9243.2800000000007</v>
      </c>
      <c r="I111" s="400">
        <f>+'311 ageing'!R2</f>
        <v>5935.0399999999991</v>
      </c>
    </row>
    <row r="112" spans="1:9" ht="13.5" customHeight="1" outlineLevel="1">
      <c r="B112" s="398" t="s">
        <v>85</v>
      </c>
      <c r="C112" s="398" t="s">
        <v>86</v>
      </c>
      <c r="D112" s="399">
        <f>+súvaha_vykaz!D54</f>
        <v>531.33000000000004</v>
      </c>
      <c r="E112" s="400">
        <f t="shared" ref="E112:E118" si="18">D112-SUM(F112:I112)</f>
        <v>531.33000000000004</v>
      </c>
      <c r="F112" s="400"/>
      <c r="G112" s="400"/>
      <c r="H112" s="400"/>
      <c r="I112" s="400"/>
    </row>
    <row r="113" spans="2:9" ht="13.5" customHeight="1" outlineLevel="1">
      <c r="B113" s="398" t="s">
        <v>87</v>
      </c>
      <c r="C113" s="398" t="s">
        <v>88</v>
      </c>
      <c r="D113" s="399">
        <f>+súvaha_vykaz!D55</f>
        <v>0</v>
      </c>
      <c r="E113" s="400">
        <f t="shared" si="18"/>
        <v>0</v>
      </c>
      <c r="F113" s="400"/>
      <c r="G113" s="400"/>
      <c r="H113" s="400"/>
      <c r="I113" s="400"/>
    </row>
    <row r="114" spans="2:9" ht="13.5" customHeight="1" outlineLevel="1">
      <c r="B114" s="398" t="s">
        <v>89</v>
      </c>
      <c r="C114" s="398" t="s">
        <v>90</v>
      </c>
      <c r="D114" s="399">
        <f>+súvaha_vykaz!D56</f>
        <v>0</v>
      </c>
      <c r="E114" s="400">
        <f t="shared" si="18"/>
        <v>0</v>
      </c>
      <c r="F114" s="400"/>
      <c r="G114" s="400"/>
      <c r="H114" s="400"/>
      <c r="I114" s="400"/>
    </row>
    <row r="115" spans="2:9" ht="13.5" customHeight="1" outlineLevel="1">
      <c r="B115" s="398" t="s">
        <v>91</v>
      </c>
      <c r="C115" s="398" t="s">
        <v>92</v>
      </c>
      <c r="D115" s="399">
        <f>+súvaha_vykaz!D57</f>
        <v>0</v>
      </c>
      <c r="E115" s="400">
        <f t="shared" si="18"/>
        <v>0</v>
      </c>
      <c r="F115" s="400"/>
      <c r="G115" s="400"/>
      <c r="H115" s="400"/>
      <c r="I115" s="400"/>
    </row>
    <row r="116" spans="2:9" ht="13.5" customHeight="1" outlineLevel="1">
      <c r="B116" s="398" t="s">
        <v>93</v>
      </c>
      <c r="C116" s="398" t="s">
        <v>94</v>
      </c>
      <c r="D116" s="399">
        <f>+súvaha_vykaz!D58</f>
        <v>0</v>
      </c>
      <c r="E116" s="400">
        <f t="shared" si="18"/>
        <v>0</v>
      </c>
      <c r="F116" s="400"/>
      <c r="G116" s="400"/>
      <c r="H116" s="400"/>
      <c r="I116" s="400"/>
    </row>
    <row r="117" spans="2:9" ht="13.5" customHeight="1" outlineLevel="1">
      <c r="B117" s="398" t="s">
        <v>95</v>
      </c>
      <c r="C117" s="398" t="s">
        <v>96</v>
      </c>
      <c r="D117" s="399">
        <f>+súvaha_vykaz!D59</f>
        <v>0</v>
      </c>
      <c r="E117" s="400">
        <f t="shared" si="18"/>
        <v>0</v>
      </c>
      <c r="F117" s="400"/>
      <c r="G117" s="400"/>
      <c r="H117" s="400"/>
      <c r="I117" s="400"/>
    </row>
    <row r="118" spans="2:9" ht="13.5" customHeight="1" outlineLevel="1">
      <c r="B118" s="398" t="s">
        <v>97</v>
      </c>
      <c r="C118" s="398" t="s">
        <v>98</v>
      </c>
      <c r="D118" s="399">
        <f>+súvaha_vykaz!D60</f>
        <v>161994.82999999999</v>
      </c>
      <c r="E118" s="400">
        <f t="shared" si="18"/>
        <v>161994.82999999999</v>
      </c>
      <c r="F118" s="400"/>
      <c r="G118" s="400"/>
      <c r="H118" s="400"/>
      <c r="I118" s="400"/>
    </row>
    <row r="119" spans="2:9" ht="13.5" customHeight="1" outlineLevel="1">
      <c r="D119" s="377"/>
      <c r="E119" s="401">
        <f>SUM(E111:E118)</f>
        <v>163775.29999999999</v>
      </c>
      <c r="F119" s="401">
        <f t="shared" ref="F119:I119" si="19">SUM(F111:F118)</f>
        <v>0</v>
      </c>
      <c r="G119" s="401">
        <f t="shared" si="19"/>
        <v>7651.98</v>
      </c>
      <c r="H119" s="401">
        <f t="shared" si="19"/>
        <v>9243.2800000000007</v>
      </c>
      <c r="I119" s="401">
        <f t="shared" si="19"/>
        <v>5935.0399999999991</v>
      </c>
    </row>
    <row r="120" spans="2:9" ht="13.5" customHeight="1" outlineLevel="1">
      <c r="I120" s="376" t="s">
        <v>2682</v>
      </c>
    </row>
    <row r="121" spans="2:9" ht="13.5" customHeight="1" outlineLevel="1"/>
    <row r="122" spans="2:9" ht="12.75" outlineLevel="1">
      <c r="B122" s="405" t="s">
        <v>1589</v>
      </c>
      <c r="C122" s="406">
        <v>42004</v>
      </c>
      <c r="D122" s="406">
        <v>41639</v>
      </c>
      <c r="F122" s="376" t="s">
        <v>1598</v>
      </c>
    </row>
    <row r="123" spans="2:9" ht="12.75" outlineLevel="1">
      <c r="B123" s="253" t="s">
        <v>1590</v>
      </c>
      <c r="C123" s="402">
        <f>+súvaha_vykaz!F53</f>
        <v>18144.400000000001</v>
      </c>
      <c r="D123" s="373">
        <v>1787224.43</v>
      </c>
      <c r="F123" s="377">
        <f>969955-10189</f>
        <v>959766</v>
      </c>
      <c r="G123" s="377">
        <f>+F123/C123</f>
        <v>52.895989947311563</v>
      </c>
    </row>
    <row r="124" spans="2:9" ht="12.75" outlineLevel="1">
      <c r="B124" s="253" t="s">
        <v>1591</v>
      </c>
      <c r="C124" s="373">
        <f>+súvaha_vykaz!F54</f>
        <v>531.33000000000004</v>
      </c>
      <c r="D124" s="373">
        <v>0</v>
      </c>
    </row>
    <row r="125" spans="2:9" ht="25.5" outlineLevel="1">
      <c r="B125" s="253" t="s">
        <v>1592</v>
      </c>
      <c r="C125" s="373">
        <f>+súvaha_vykaz!F55</f>
        <v>0</v>
      </c>
      <c r="D125" s="373">
        <v>0</v>
      </c>
    </row>
    <row r="126" spans="2:9" ht="12.75" outlineLevel="1">
      <c r="B126" s="253" t="s">
        <v>1593</v>
      </c>
      <c r="C126" s="373">
        <f>+súvaha_vykaz!F56</f>
        <v>0</v>
      </c>
      <c r="D126" s="373">
        <v>1307.76</v>
      </c>
    </row>
    <row r="127" spans="2:9" ht="25.5" outlineLevel="1">
      <c r="B127" s="253" t="s">
        <v>1594</v>
      </c>
      <c r="C127" s="373">
        <f>+súvaha_vykaz!F57</f>
        <v>0</v>
      </c>
      <c r="D127" s="373">
        <v>1500</v>
      </c>
    </row>
    <row r="128" spans="2:9" ht="12.75" outlineLevel="1">
      <c r="B128" s="253" t="s">
        <v>1595</v>
      </c>
      <c r="C128" s="373">
        <f>+súvaha_vykaz!F58</f>
        <v>0</v>
      </c>
      <c r="D128" s="373">
        <v>0</v>
      </c>
    </row>
    <row r="129" spans="1:7" ht="12.75" outlineLevel="1">
      <c r="B129" s="253" t="s">
        <v>1596</v>
      </c>
      <c r="C129" s="373">
        <f>+súvaha_vykaz!F59</f>
        <v>0</v>
      </c>
      <c r="D129" s="373">
        <v>0</v>
      </c>
    </row>
    <row r="130" spans="1:7" ht="12.75" outlineLevel="1">
      <c r="B130" s="253" t="s">
        <v>1597</v>
      </c>
      <c r="C130" s="408">
        <f>+súvaha_vykaz!F60</f>
        <v>161994.82999999999</v>
      </c>
      <c r="D130" s="383">
        <v>90527.87</v>
      </c>
    </row>
    <row r="131" spans="1:7" ht="12.75" outlineLevel="1">
      <c r="B131" s="407" t="s">
        <v>301</v>
      </c>
      <c r="C131" s="409">
        <f>SUM(C123:C130)</f>
        <v>180670.56</v>
      </c>
      <c r="D131" s="409">
        <f>SUM(D123:D130)</f>
        <v>1880560.06</v>
      </c>
    </row>
    <row r="132" spans="1:7" ht="12.75" outlineLevel="1">
      <c r="C132" s="377">
        <f>+súvaha_vykaz!F52</f>
        <v>180670.56</v>
      </c>
      <c r="D132" s="377">
        <f>+súvaha_vykaz!G52</f>
        <v>1880560.06</v>
      </c>
    </row>
    <row r="133" spans="1:7" ht="13.5" customHeight="1" outlineLevel="1">
      <c r="C133" s="378">
        <f>+C131-C132</f>
        <v>0</v>
      </c>
      <c r="D133" s="378">
        <f>+D131-D132</f>
        <v>0</v>
      </c>
    </row>
    <row r="134" spans="1:7" ht="13.5" customHeight="1" outlineLevel="1"/>
    <row r="135" spans="1:7" ht="25.5" outlineLevel="1">
      <c r="B135" s="403" t="s">
        <v>1779</v>
      </c>
      <c r="C135" s="404" t="s">
        <v>1780</v>
      </c>
      <c r="D135" s="404" t="s">
        <v>1781</v>
      </c>
    </row>
    <row r="136" spans="1:7" ht="13.5" customHeight="1" outlineLevel="1">
      <c r="B136" s="376" t="s">
        <v>1782</v>
      </c>
      <c r="C136" s="376">
        <v>0</v>
      </c>
      <c r="D136" s="376">
        <v>0</v>
      </c>
    </row>
    <row r="137" spans="1:7" ht="13.5" customHeight="1" outlineLevel="1">
      <c r="B137" s="376" t="s">
        <v>1783</v>
      </c>
      <c r="C137" s="385" t="s">
        <v>768</v>
      </c>
      <c r="D137" s="373">
        <v>0</v>
      </c>
    </row>
    <row r="138" spans="1:7" ht="13.5" customHeight="1" outlineLevel="1">
      <c r="B138" s="376" t="s">
        <v>1784</v>
      </c>
      <c r="C138" s="385" t="s">
        <v>768</v>
      </c>
      <c r="D138" s="376">
        <v>0</v>
      </c>
    </row>
    <row r="139" spans="1:7" ht="13.5" customHeight="1" outlineLevel="1"/>
    <row r="141" spans="1:7" ht="13.5" customHeight="1">
      <c r="A141" s="376" t="s">
        <v>1776</v>
      </c>
      <c r="C141" s="376" t="s">
        <v>1768</v>
      </c>
    </row>
    <row r="142" spans="1:7" ht="13.5" hidden="1" customHeight="1" outlineLevel="1">
      <c r="B142" s="701"/>
      <c r="C142" s="390" t="s">
        <v>1576</v>
      </c>
      <c r="D142" s="699" t="s">
        <v>1577</v>
      </c>
      <c r="E142" s="699" t="s">
        <v>1578</v>
      </c>
      <c r="F142" s="522" t="s">
        <v>1579</v>
      </c>
      <c r="G142" s="390" t="s">
        <v>1576</v>
      </c>
    </row>
    <row r="143" spans="1:7" ht="23.25" hidden="1" customHeight="1" outlineLevel="1">
      <c r="B143" s="702"/>
      <c r="C143" s="393" t="s">
        <v>1737</v>
      </c>
      <c r="D143" s="700"/>
      <c r="E143" s="700"/>
      <c r="F143" s="523" t="s">
        <v>1580</v>
      </c>
      <c r="G143" s="393" t="s">
        <v>1738</v>
      </c>
    </row>
    <row r="144" spans="1:7" ht="13.5" hidden="1" customHeight="1" outlineLevel="1">
      <c r="B144" s="252"/>
      <c r="C144" s="252"/>
      <c r="D144" s="252"/>
      <c r="E144" s="252"/>
      <c r="F144" s="252"/>
      <c r="G144" s="252"/>
    </row>
    <row r="145" spans="1:7" ht="13.5" hidden="1" customHeight="1" outlineLevel="1">
      <c r="B145" s="253" t="s">
        <v>556</v>
      </c>
      <c r="C145" s="373">
        <v>12000</v>
      </c>
      <c r="D145" s="373">
        <v>0</v>
      </c>
      <c r="E145" s="373">
        <v>12000</v>
      </c>
      <c r="F145" s="373">
        <v>0</v>
      </c>
      <c r="G145" s="383">
        <f t="shared" ref="G145:G150" si="20">+C145+D145-E145-F145</f>
        <v>0</v>
      </c>
    </row>
    <row r="146" spans="1:7" ht="13.5" hidden="1" customHeight="1" outlineLevel="1">
      <c r="B146" s="253" t="s">
        <v>1777</v>
      </c>
      <c r="C146" s="373">
        <v>0</v>
      </c>
      <c r="D146" s="373">
        <v>0</v>
      </c>
      <c r="E146" s="373">
        <v>0</v>
      </c>
      <c r="F146" s="373">
        <v>0</v>
      </c>
      <c r="G146" s="383">
        <f t="shared" si="20"/>
        <v>0</v>
      </c>
    </row>
    <row r="147" spans="1:7" ht="13.5" hidden="1" customHeight="1" outlineLevel="1">
      <c r="B147" s="253" t="s">
        <v>564</v>
      </c>
      <c r="C147" s="373">
        <v>0</v>
      </c>
      <c r="D147" s="373">
        <v>0</v>
      </c>
      <c r="E147" s="373">
        <v>0</v>
      </c>
      <c r="F147" s="373">
        <v>0</v>
      </c>
      <c r="G147" s="383">
        <f t="shared" si="20"/>
        <v>0</v>
      </c>
    </row>
    <row r="148" spans="1:7" ht="13.5" hidden="1" customHeight="1" outlineLevel="1">
      <c r="B148" s="253" t="s">
        <v>565</v>
      </c>
      <c r="C148" s="373">
        <v>0</v>
      </c>
      <c r="D148" s="373">
        <v>0</v>
      </c>
      <c r="E148" s="373">
        <v>0</v>
      </c>
      <c r="F148" s="373">
        <v>0</v>
      </c>
      <c r="G148" s="383">
        <f t="shared" si="20"/>
        <v>0</v>
      </c>
    </row>
    <row r="149" spans="1:7" ht="13.5" hidden="1" customHeight="1" outlineLevel="1">
      <c r="B149" s="253" t="s">
        <v>567</v>
      </c>
      <c r="C149" s="373">
        <v>0</v>
      </c>
      <c r="D149" s="373">
        <v>0</v>
      </c>
      <c r="E149" s="373">
        <v>0</v>
      </c>
      <c r="F149" s="373">
        <v>0</v>
      </c>
      <c r="G149" s="383">
        <f t="shared" si="20"/>
        <v>0</v>
      </c>
    </row>
    <row r="150" spans="1:7" ht="13.5" hidden="1" customHeight="1" outlineLevel="1">
      <c r="B150" s="253" t="s">
        <v>1778</v>
      </c>
      <c r="C150" s="383">
        <v>0</v>
      </c>
      <c r="D150" s="383">
        <v>0</v>
      </c>
      <c r="E150" s="383">
        <v>0</v>
      </c>
      <c r="F150" s="383">
        <v>0</v>
      </c>
      <c r="G150" s="374">
        <f t="shared" si="20"/>
        <v>0</v>
      </c>
    </row>
    <row r="151" spans="1:7" ht="13.5" hidden="1" customHeight="1" outlineLevel="1">
      <c r="B151" s="389" t="s">
        <v>301</v>
      </c>
      <c r="C151" s="395">
        <f t="shared" ref="C151" si="21">SUM(C144:C150)</f>
        <v>12000</v>
      </c>
      <c r="D151" s="395">
        <f>SUM(D144:D150)</f>
        <v>0</v>
      </c>
      <c r="E151" s="395">
        <f>SUM(E144:E150)</f>
        <v>12000</v>
      </c>
      <c r="F151" s="395">
        <f>SUM(F144:F150)</f>
        <v>0</v>
      </c>
      <c r="G151" s="395">
        <f>SUM(G144:G150)</f>
        <v>0</v>
      </c>
    </row>
    <row r="152" spans="1:7" ht="13.5" hidden="1" customHeight="1" outlineLevel="1">
      <c r="G152" s="376">
        <f>+súvaha_vykaz!E41</f>
        <v>0</v>
      </c>
    </row>
    <row r="153" spans="1:7" ht="13.5" hidden="1" customHeight="1" outlineLevel="1">
      <c r="G153" s="378">
        <f>+G151-G152</f>
        <v>0</v>
      </c>
    </row>
    <row r="154" spans="1:7" ht="13.5" customHeight="1" collapsed="1"/>
    <row r="155" spans="1:7" ht="13.5" customHeight="1">
      <c r="A155" s="376" t="s">
        <v>1809</v>
      </c>
      <c r="C155" s="376" t="s">
        <v>1768</v>
      </c>
    </row>
    <row r="156" spans="1:7" ht="13.5" hidden="1" customHeight="1" outlineLevel="1">
      <c r="B156" s="386" t="s">
        <v>2686</v>
      </c>
      <c r="C156" s="387">
        <v>42004</v>
      </c>
      <c r="D156" s="387">
        <v>41639</v>
      </c>
    </row>
    <row r="157" spans="1:7" ht="13.5" hidden="1" customHeight="1" outlineLevel="1">
      <c r="B157" s="253" t="s">
        <v>490</v>
      </c>
      <c r="C157" s="254">
        <f>+súvaha_vykaz!F67</f>
        <v>9.85</v>
      </c>
      <c r="D157" s="259">
        <v>5647.63</v>
      </c>
    </row>
    <row r="158" spans="1:7" ht="13.5" hidden="1" customHeight="1" outlineLevel="1">
      <c r="B158" s="253" t="s">
        <v>491</v>
      </c>
      <c r="C158" s="373">
        <v>0</v>
      </c>
      <c r="D158" s="551">
        <v>3.25</v>
      </c>
    </row>
    <row r="159" spans="1:7" ht="13.5" hidden="1" customHeight="1" outlineLevel="1">
      <c r="B159" s="539" t="s">
        <v>301</v>
      </c>
      <c r="C159" s="434">
        <f>SUM(C157:C158)</f>
        <v>9.85</v>
      </c>
      <c r="D159" s="434">
        <f>SUM(D157:D158)</f>
        <v>5650.88</v>
      </c>
    </row>
    <row r="160" spans="1:7" ht="13.5" hidden="1" customHeight="1" outlineLevel="1">
      <c r="C160" s="376">
        <f>+súvaha_vykaz!F67</f>
        <v>9.85</v>
      </c>
      <c r="D160" s="376">
        <f>+súvaha_vykaz!G67</f>
        <v>5650.88</v>
      </c>
    </row>
    <row r="161" spans="3:4" ht="13.5" hidden="1" customHeight="1" outlineLevel="1">
      <c r="C161" s="378">
        <f>+C159-C160</f>
        <v>0</v>
      </c>
      <c r="D161" s="378">
        <f>+D159-D160</f>
        <v>0</v>
      </c>
    </row>
    <row r="162" spans="3:4" ht="13.5" customHeight="1" collapsed="1"/>
  </sheetData>
  <mergeCells count="7">
    <mergeCell ref="P48:R48"/>
    <mergeCell ref="D87:D88"/>
    <mergeCell ref="B142:B143"/>
    <mergeCell ref="D142:D143"/>
    <mergeCell ref="E142:E143"/>
    <mergeCell ref="B87:B88"/>
    <mergeCell ref="E87:E88"/>
  </mergeCell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123"/>
  <sheetViews>
    <sheetView showGridLines="0" workbookViewId="0">
      <selection activeCell="F40" sqref="F40:G40"/>
    </sheetView>
  </sheetViews>
  <sheetFormatPr defaultRowHeight="12.75" outlineLevelRow="1"/>
  <cols>
    <col min="1" max="1" width="9.140625" style="376"/>
    <col min="2" max="2" width="31.85546875" style="376" customWidth="1"/>
    <col min="3" max="3" width="10.5703125" style="376" customWidth="1"/>
    <col min="4" max="4" width="11.140625" style="376" customWidth="1"/>
    <col min="5" max="5" width="9.28515625" style="376" customWidth="1"/>
    <col min="6" max="6" width="9.42578125" style="376" customWidth="1"/>
    <col min="7" max="7" width="10.85546875" style="376" customWidth="1"/>
    <col min="8" max="8" width="9" style="376" customWidth="1"/>
    <col min="9" max="9" width="39.28515625" style="376" bestFit="1" customWidth="1"/>
    <col min="10" max="10" width="9.140625" style="377"/>
    <col min="11" max="16384" width="9.140625" style="376"/>
  </cols>
  <sheetData>
    <row r="2" spans="1:11">
      <c r="A2" s="376" t="s">
        <v>1796</v>
      </c>
      <c r="C2" s="376" t="s">
        <v>1768</v>
      </c>
    </row>
    <row r="3" spans="1:11" hidden="1" outlineLevel="1">
      <c r="B3" s="705"/>
      <c r="C3" s="410" t="s">
        <v>1576</v>
      </c>
      <c r="D3" s="540" t="s">
        <v>1563</v>
      </c>
      <c r="E3" s="540" t="s">
        <v>1564</v>
      </c>
      <c r="F3" s="540" t="s">
        <v>1565</v>
      </c>
      <c r="G3" s="410" t="s">
        <v>1576</v>
      </c>
      <c r="I3" s="412"/>
    </row>
    <row r="4" spans="1:11" hidden="1" outlineLevel="1">
      <c r="B4" s="706"/>
      <c r="C4" s="361" t="s">
        <v>1789</v>
      </c>
      <c r="D4" s="541"/>
      <c r="E4" s="541"/>
      <c r="F4" s="541"/>
      <c r="G4" s="361" t="s">
        <v>1789</v>
      </c>
      <c r="I4" s="413"/>
    </row>
    <row r="5" spans="1:11" hidden="1" outlineLevel="1">
      <c r="B5" s="414"/>
      <c r="C5" s="415"/>
      <c r="D5" s="415"/>
      <c r="E5" s="415"/>
      <c r="F5" s="415"/>
      <c r="G5" s="415"/>
      <c r="I5" s="259"/>
    </row>
    <row r="6" spans="1:11" hidden="1" outlineLevel="1">
      <c r="B6" s="416" t="s">
        <v>1599</v>
      </c>
      <c r="C6" s="415"/>
      <c r="D6" s="415"/>
      <c r="E6" s="415"/>
      <c r="F6" s="415"/>
      <c r="G6" s="415"/>
      <c r="I6" s="259"/>
    </row>
    <row r="7" spans="1:11" hidden="1" outlineLevel="1">
      <c r="B7" s="414" t="s">
        <v>492</v>
      </c>
      <c r="C7" s="383">
        <v>13576.08</v>
      </c>
      <c r="D7" s="383">
        <v>0</v>
      </c>
      <c r="E7" s="383">
        <v>0</v>
      </c>
      <c r="F7" s="383">
        <v>0</v>
      </c>
      <c r="G7" s="383">
        <f>+C7+D7-E7+F7</f>
        <v>13576.08</v>
      </c>
      <c r="I7" s="259"/>
      <c r="J7" s="377">
        <f>+súvaha_vykaz!D77</f>
        <v>13576.08</v>
      </c>
      <c r="K7" s="378">
        <f>+G7-J7</f>
        <v>0</v>
      </c>
    </row>
    <row r="8" spans="1:11" hidden="1" outlineLevel="1">
      <c r="B8" s="414" t="s">
        <v>1600</v>
      </c>
      <c r="C8" s="383"/>
      <c r="D8" s="383"/>
      <c r="E8" s="383"/>
      <c r="F8" s="383"/>
      <c r="G8" s="383"/>
      <c r="I8" s="259"/>
    </row>
    <row r="9" spans="1:11" hidden="1" outlineLevel="1">
      <c r="B9" s="418" t="s">
        <v>1601</v>
      </c>
      <c r="C9" s="424">
        <v>0</v>
      </c>
      <c r="D9" s="424">
        <v>0</v>
      </c>
      <c r="E9" s="424">
        <v>0</v>
      </c>
      <c r="F9" s="424">
        <v>0</v>
      </c>
      <c r="G9" s="424">
        <f t="shared" ref="G9:G14" si="0">+C9+D9-E9+F9</f>
        <v>0</v>
      </c>
      <c r="I9" s="264"/>
    </row>
    <row r="10" spans="1:11" ht="11.25" hidden="1" customHeight="1" outlineLevel="1">
      <c r="B10" s="418" t="s">
        <v>1602</v>
      </c>
      <c r="C10" s="424">
        <v>9958.18</v>
      </c>
      <c r="D10" s="424">
        <v>0</v>
      </c>
      <c r="E10" s="424">
        <v>0</v>
      </c>
      <c r="F10" s="424">
        <v>0</v>
      </c>
      <c r="G10" s="424">
        <f t="shared" si="0"/>
        <v>9958.18</v>
      </c>
      <c r="I10" s="259"/>
    </row>
    <row r="11" spans="1:11" hidden="1" outlineLevel="1">
      <c r="B11" s="418" t="s">
        <v>1603</v>
      </c>
      <c r="C11" s="424">
        <v>3617.9</v>
      </c>
      <c r="D11" s="424">
        <v>0</v>
      </c>
      <c r="E11" s="424">
        <v>0</v>
      </c>
      <c r="F11" s="424">
        <v>0</v>
      </c>
      <c r="G11" s="424">
        <f t="shared" si="0"/>
        <v>3617.9</v>
      </c>
      <c r="I11" s="264"/>
    </row>
    <row r="12" spans="1:11" hidden="1" outlineLevel="1">
      <c r="B12" s="414" t="s">
        <v>664</v>
      </c>
      <c r="C12" s="383">
        <v>0</v>
      </c>
      <c r="D12" s="383">
        <v>0</v>
      </c>
      <c r="E12" s="383">
        <v>0</v>
      </c>
      <c r="F12" s="383">
        <v>0</v>
      </c>
      <c r="G12" s="383">
        <f t="shared" si="0"/>
        <v>0</v>
      </c>
      <c r="I12" s="259"/>
    </row>
    <row r="13" spans="1:11" hidden="1" outlineLevel="1">
      <c r="B13" s="414" t="s">
        <v>665</v>
      </c>
      <c r="C13" s="383">
        <v>0</v>
      </c>
      <c r="D13" s="383">
        <v>0</v>
      </c>
      <c r="E13" s="383">
        <v>0</v>
      </c>
      <c r="F13" s="383">
        <v>0</v>
      </c>
      <c r="G13" s="383">
        <f t="shared" si="0"/>
        <v>0</v>
      </c>
      <c r="I13" s="259"/>
    </row>
    <row r="14" spans="1:11" ht="25.5" hidden="1" outlineLevel="1">
      <c r="B14" s="414" t="s">
        <v>666</v>
      </c>
      <c r="C14" s="383">
        <v>0</v>
      </c>
      <c r="D14" s="383">
        <v>0</v>
      </c>
      <c r="E14" s="383">
        <v>0</v>
      </c>
      <c r="F14" s="383">
        <v>0</v>
      </c>
      <c r="G14" s="383">
        <f t="shared" si="0"/>
        <v>0</v>
      </c>
      <c r="I14" s="259"/>
    </row>
    <row r="15" spans="1:11" hidden="1" outlineLevel="1">
      <c r="B15" s="425" t="s">
        <v>1604</v>
      </c>
      <c r="C15" s="383"/>
      <c r="D15" s="383"/>
      <c r="E15" s="383"/>
      <c r="F15" s="383"/>
      <c r="G15" s="383"/>
      <c r="I15" s="259"/>
    </row>
    <row r="16" spans="1:11" hidden="1" outlineLevel="1">
      <c r="B16" s="414" t="s">
        <v>670</v>
      </c>
      <c r="C16" s="383">
        <v>0</v>
      </c>
      <c r="D16" s="383">
        <v>0</v>
      </c>
      <c r="E16" s="383">
        <v>0</v>
      </c>
      <c r="F16" s="383">
        <v>0</v>
      </c>
      <c r="G16" s="383">
        <f>+C16+D16-E16+F16</f>
        <v>0</v>
      </c>
      <c r="I16" s="259"/>
    </row>
    <row r="17" spans="1:14" hidden="1" outlineLevel="1">
      <c r="B17" s="414" t="s">
        <v>671</v>
      </c>
      <c r="C17" s="383">
        <v>0</v>
      </c>
      <c r="D17" s="383">
        <v>0</v>
      </c>
      <c r="E17" s="383">
        <v>0</v>
      </c>
      <c r="F17" s="383">
        <v>0</v>
      </c>
      <c r="G17" s="383">
        <f>+C17+D17-E17+F17</f>
        <v>0</v>
      </c>
      <c r="I17" s="259"/>
    </row>
    <row r="18" spans="1:14" hidden="1" outlineLevel="1">
      <c r="B18" s="414" t="s">
        <v>672</v>
      </c>
      <c r="C18" s="383">
        <v>466.26</v>
      </c>
      <c r="D18" s="383">
        <v>0</v>
      </c>
      <c r="E18" s="383">
        <v>466.26</v>
      </c>
      <c r="F18" s="383">
        <v>0</v>
      </c>
      <c r="G18" s="383">
        <f>+C18+D18-E18+F18</f>
        <v>0</v>
      </c>
      <c r="I18" s="259"/>
      <c r="J18" s="377">
        <f>+súvaha_vykaz!D85</f>
        <v>0</v>
      </c>
      <c r="K18" s="378">
        <f>+G18-J18</f>
        <v>0</v>
      </c>
    </row>
    <row r="19" spans="1:14" ht="25.5" hidden="1" outlineLevel="1">
      <c r="B19" s="414" t="s">
        <v>673</v>
      </c>
      <c r="C19" s="383">
        <v>-3173724.91</v>
      </c>
      <c r="D19" s="383">
        <v>0</v>
      </c>
      <c r="E19" s="383">
        <v>0</v>
      </c>
      <c r="F19" s="383">
        <f>-F20</f>
        <v>149439.21</v>
      </c>
      <c r="G19" s="383">
        <f>+C19+D19-E19+F19</f>
        <v>-3024285.7</v>
      </c>
      <c r="I19" s="259"/>
      <c r="J19" s="377">
        <f>+súvaha_vykaz!D86</f>
        <v>-3024285.7</v>
      </c>
      <c r="K19" s="378">
        <f>+G19-J19</f>
        <v>0</v>
      </c>
      <c r="M19" s="377">
        <v>6000</v>
      </c>
      <c r="N19" s="377" t="s">
        <v>1794</v>
      </c>
    </row>
    <row r="20" spans="1:14" hidden="1" outlineLevel="1">
      <c r="B20" s="414" t="s">
        <v>1605</v>
      </c>
      <c r="C20" s="374">
        <v>149439.21</v>
      </c>
      <c r="D20" s="374">
        <f>+VZaS_vykaz!F90</f>
        <v>88435.919999998994</v>
      </c>
      <c r="E20" s="374">
        <v>0</v>
      </c>
      <c r="F20" s="374">
        <f>-C20</f>
        <v>-149439.21</v>
      </c>
      <c r="G20" s="374">
        <f>+C20+D20-E20+F20</f>
        <v>88435.919999998994</v>
      </c>
      <c r="I20" s="417"/>
      <c r="J20" s="377">
        <f>+súvaha_vykaz!D87</f>
        <v>88435.91999999978</v>
      </c>
      <c r="K20" s="378">
        <f>+G20-J20</f>
        <v>-7.8580342233181E-10</v>
      </c>
    </row>
    <row r="21" spans="1:14" hidden="1" outlineLevel="1">
      <c r="B21" s="389" t="s">
        <v>301</v>
      </c>
      <c r="C21" s="423">
        <f>+C7+SUM(C12:C20)</f>
        <v>-3010243.3600000003</v>
      </c>
      <c r="D21" s="423">
        <f>+D7+SUM(D12:D20)</f>
        <v>88435.919999998994</v>
      </c>
      <c r="E21" s="423">
        <f>+E7+SUM(E12:E20)</f>
        <v>466.26</v>
      </c>
      <c r="F21" s="423">
        <f>+F7+SUM(F12:F20)</f>
        <v>0</v>
      </c>
      <c r="G21" s="423">
        <f>+G7+SUM(G12:G20)</f>
        <v>-2922273.7000000011</v>
      </c>
      <c r="I21" s="415"/>
    </row>
    <row r="22" spans="1:14" hidden="1" outlineLevel="1">
      <c r="C22" s="377">
        <f>+súvaha_vykaz!E75</f>
        <v>-3010243.36</v>
      </c>
      <c r="D22" s="377"/>
      <c r="E22" s="377"/>
      <c r="F22" s="377"/>
      <c r="G22" s="377">
        <f>+súvaha_vykaz!D75</f>
        <v>-2922273.7</v>
      </c>
      <c r="I22" s="377"/>
    </row>
    <row r="23" spans="1:14" hidden="1" outlineLevel="1">
      <c r="C23" s="378">
        <f>+C21-C22</f>
        <v>0</v>
      </c>
      <c r="D23" s="377"/>
      <c r="E23" s="377"/>
      <c r="F23" s="377"/>
      <c r="G23" s="378">
        <f>+G21-G22</f>
        <v>0</v>
      </c>
      <c r="I23" s="419"/>
    </row>
    <row r="24" spans="1:14" collapsed="1"/>
    <row r="25" spans="1:14">
      <c r="A25" s="376" t="s">
        <v>1797</v>
      </c>
      <c r="C25" s="475" t="s">
        <v>3011</v>
      </c>
    </row>
    <row r="26" spans="1:14" outlineLevel="1">
      <c r="B26" s="705"/>
      <c r="C26" s="410" t="s">
        <v>1576</v>
      </c>
      <c r="D26" s="707" t="s">
        <v>2699</v>
      </c>
      <c r="E26" s="703" t="s">
        <v>1577</v>
      </c>
      <c r="F26" s="703" t="s">
        <v>1606</v>
      </c>
      <c r="G26" s="703" t="s">
        <v>1607</v>
      </c>
      <c r="H26" s="410" t="s">
        <v>1576</v>
      </c>
    </row>
    <row r="27" spans="1:14" outlineLevel="1">
      <c r="B27" s="706"/>
      <c r="C27" s="361" t="s">
        <v>1795</v>
      </c>
      <c r="D27" s="708"/>
      <c r="E27" s="704"/>
      <c r="F27" s="704"/>
      <c r="G27" s="704"/>
      <c r="H27" s="361" t="s">
        <v>1789</v>
      </c>
    </row>
    <row r="28" spans="1:14" outlineLevel="1">
      <c r="B28" s="263" t="s">
        <v>622</v>
      </c>
      <c r="C28" s="421"/>
      <c r="E28" s="257"/>
      <c r="F28" s="257"/>
      <c r="G28" s="257"/>
      <c r="H28" s="388"/>
      <c r="I28" s="385" t="s">
        <v>1573</v>
      </c>
    </row>
    <row r="29" spans="1:14" ht="23.25" customHeight="1" outlineLevel="1">
      <c r="B29" s="426" t="s">
        <v>1608</v>
      </c>
      <c r="C29" s="383">
        <v>105823.53</v>
      </c>
      <c r="D29" s="383">
        <v>-192446.53</v>
      </c>
      <c r="E29" s="383">
        <f>174966+260.49</f>
        <v>175226.49</v>
      </c>
      <c r="F29" s="383">
        <v>88343</v>
      </c>
      <c r="G29" s="383">
        <v>0</v>
      </c>
      <c r="H29" s="383">
        <f>+C29+E29-F29-G29+D29</f>
        <v>260.49000000001979</v>
      </c>
      <c r="I29" s="376">
        <v>260.49</v>
      </c>
      <c r="J29" s="377">
        <f>+H29-I29</f>
        <v>1.9781509763561189E-11</v>
      </c>
      <c r="K29" s="377"/>
      <c r="L29" s="377"/>
    </row>
    <row r="30" spans="1:14" outlineLevel="1">
      <c r="B30" s="261" t="s">
        <v>1609</v>
      </c>
      <c r="C30" s="383">
        <v>8966</v>
      </c>
      <c r="D30" s="383">
        <v>0</v>
      </c>
      <c r="E30" s="383">
        <v>0</v>
      </c>
      <c r="F30" s="383">
        <v>8966</v>
      </c>
      <c r="G30" s="383">
        <v>0</v>
      </c>
      <c r="H30" s="383">
        <f t="shared" ref="H30:H33" si="1">+C30+E30-F30-G30+D30</f>
        <v>0</v>
      </c>
      <c r="I30" s="376">
        <v>0</v>
      </c>
    </row>
    <row r="31" spans="1:14" outlineLevel="1">
      <c r="B31" s="261" t="s">
        <v>1610</v>
      </c>
      <c r="C31" s="383">
        <v>15778</v>
      </c>
      <c r="D31" s="383">
        <v>0</v>
      </c>
      <c r="E31" s="383">
        <v>0</v>
      </c>
      <c r="F31" s="383">
        <v>15778</v>
      </c>
      <c r="G31" s="383">
        <v>0</v>
      </c>
      <c r="H31" s="383">
        <f t="shared" si="1"/>
        <v>0</v>
      </c>
      <c r="I31" s="376">
        <v>0</v>
      </c>
      <c r="K31" s="377"/>
      <c r="L31" s="377"/>
      <c r="M31" s="469"/>
    </row>
    <row r="32" spans="1:14" outlineLevel="1">
      <c r="B32" s="261" t="s">
        <v>2698</v>
      </c>
      <c r="C32" s="383">
        <v>46255.8</v>
      </c>
      <c r="D32" s="383">
        <v>0</v>
      </c>
      <c r="E32" s="383">
        <v>0</v>
      </c>
      <c r="F32" s="383">
        <v>16255.8</v>
      </c>
      <c r="G32" s="383">
        <v>10000</v>
      </c>
      <c r="H32" s="383">
        <f t="shared" si="1"/>
        <v>20000.000000000004</v>
      </c>
      <c r="I32" s="377">
        <v>20000</v>
      </c>
      <c r="J32" s="377">
        <f>+H32-I32</f>
        <v>0</v>
      </c>
      <c r="K32" s="377"/>
      <c r="L32" s="377"/>
      <c r="M32" s="469"/>
    </row>
    <row r="33" spans="1:11" outlineLevel="1">
      <c r="B33" s="261" t="s">
        <v>680</v>
      </c>
      <c r="C33" s="383">
        <v>1449.9</v>
      </c>
      <c r="D33" s="374">
        <v>0</v>
      </c>
      <c r="E33" s="383">
        <v>0</v>
      </c>
      <c r="F33" s="383">
        <v>1449.9</v>
      </c>
      <c r="G33" s="383">
        <v>0</v>
      </c>
      <c r="H33" s="383">
        <f t="shared" si="1"/>
        <v>0</v>
      </c>
      <c r="I33" s="376">
        <v>0</v>
      </c>
      <c r="K33" s="377"/>
    </row>
    <row r="34" spans="1:11" outlineLevel="1">
      <c r="B34" s="427" t="s">
        <v>1611</v>
      </c>
      <c r="C34" s="423">
        <f t="shared" ref="C34:H34" si="2">SUM(C29:C33)</f>
        <v>178273.23</v>
      </c>
      <c r="D34" s="423">
        <f t="shared" si="2"/>
        <v>-192446.53</v>
      </c>
      <c r="E34" s="423">
        <f t="shared" si="2"/>
        <v>175226.49</v>
      </c>
      <c r="F34" s="423">
        <f t="shared" si="2"/>
        <v>130792.7</v>
      </c>
      <c r="G34" s="423">
        <f t="shared" si="2"/>
        <v>10000</v>
      </c>
      <c r="H34" s="423">
        <f t="shared" si="2"/>
        <v>20260.490000000023</v>
      </c>
      <c r="J34" s="378">
        <f>+C34+E34-F34-G34-H34+D34</f>
        <v>0</v>
      </c>
    </row>
    <row r="35" spans="1:11" outlineLevel="1">
      <c r="C35" s="377">
        <f>+súvaha_vykaz!E89</f>
        <v>178273.23</v>
      </c>
      <c r="E35" s="377"/>
      <c r="F35" s="377"/>
      <c r="G35" s="377"/>
      <c r="H35" s="377">
        <f>+súvaha_vykaz!D89</f>
        <v>20260.490000000002</v>
      </c>
    </row>
    <row r="36" spans="1:11" outlineLevel="1">
      <c r="C36" s="378">
        <f>+C34-C35</f>
        <v>0</v>
      </c>
      <c r="E36" s="377"/>
      <c r="F36" s="377"/>
      <c r="G36" s="377"/>
      <c r="H36" s="378">
        <f>+H34-H35</f>
        <v>0</v>
      </c>
    </row>
    <row r="37" spans="1:11">
      <c r="C37" s="377"/>
      <c r="D37" s="377"/>
      <c r="E37" s="377"/>
      <c r="F37" s="377"/>
      <c r="G37" s="377"/>
      <c r="H37" s="377"/>
    </row>
    <row r="38" spans="1:11">
      <c r="A38" s="376" t="s">
        <v>1798</v>
      </c>
      <c r="C38" s="376" t="s">
        <v>1768</v>
      </c>
    </row>
    <row r="39" spans="1:11" outlineLevel="1">
      <c r="B39" s="386"/>
      <c r="C39" s="387">
        <v>42004</v>
      </c>
      <c r="D39" s="387">
        <v>41639</v>
      </c>
    </row>
    <row r="40" spans="1:11" outlineLevel="1">
      <c r="B40" s="253" t="s">
        <v>1612</v>
      </c>
      <c r="C40" s="259">
        <f>'321 ageing'!J247</f>
        <v>2762134.68</v>
      </c>
      <c r="D40" s="383">
        <v>3499320.49</v>
      </c>
      <c r="F40" s="376">
        <v>849</v>
      </c>
      <c r="G40" s="376">
        <v>1899</v>
      </c>
    </row>
    <row r="41" spans="1:11" ht="25.5" outlineLevel="1">
      <c r="B41" s="375" t="s">
        <v>1613</v>
      </c>
      <c r="C41" s="374">
        <f>+C42-C40</f>
        <v>320558.93999999994</v>
      </c>
      <c r="D41" s="374">
        <f>+D42-D40</f>
        <v>1537876.5599999996</v>
      </c>
    </row>
    <row r="42" spans="1:11" outlineLevel="1">
      <c r="B42" s="252" t="s">
        <v>1614</v>
      </c>
      <c r="C42" s="258">
        <f>+súvaha_vykaz!D101</f>
        <v>3082693.62</v>
      </c>
      <c r="D42" s="258">
        <f>+súvaha_vykaz!E101</f>
        <v>5037197.05</v>
      </c>
    </row>
    <row r="43" spans="1:11" outlineLevel="1">
      <c r="B43" s="252"/>
      <c r="C43" s="257"/>
      <c r="D43" s="257"/>
    </row>
    <row r="44" spans="1:11" ht="25.5" outlineLevel="1">
      <c r="B44" s="414" t="s">
        <v>1615</v>
      </c>
      <c r="C44" s="383">
        <f>+súvaha_vykaz!D93</f>
        <v>0</v>
      </c>
      <c r="D44" s="383">
        <f>+súvaha_vykaz!E93</f>
        <v>80527.490000000005</v>
      </c>
    </row>
    <row r="45" spans="1:11" ht="25.5" outlineLevel="1">
      <c r="B45" s="375" t="s">
        <v>1616</v>
      </c>
      <c r="C45" s="374">
        <v>0</v>
      </c>
      <c r="D45" s="374" t="s">
        <v>1562</v>
      </c>
    </row>
    <row r="46" spans="1:11" outlineLevel="1">
      <c r="B46" s="428" t="s">
        <v>1617</v>
      </c>
      <c r="C46" s="569">
        <f>SUM(C44:C45)</f>
        <v>0</v>
      </c>
      <c r="D46" s="569">
        <f>SUM(D44:D45)</f>
        <v>80527.490000000005</v>
      </c>
    </row>
    <row r="47" spans="1:11" outlineLevel="1">
      <c r="B47" s="389" t="s">
        <v>1618</v>
      </c>
      <c r="C47" s="429">
        <f>+C46+C42</f>
        <v>3082693.62</v>
      </c>
      <c r="D47" s="429">
        <f>+D46+D42</f>
        <v>5117724.54</v>
      </c>
    </row>
    <row r="48" spans="1:11" outlineLevel="1"/>
    <row r="49" spans="1:16" outlineLevel="1">
      <c r="C49" s="377">
        <f>+súvaha_vykaz!D101</f>
        <v>3082693.62</v>
      </c>
      <c r="D49" s="377">
        <f>+súvaha_vykaz!E101</f>
        <v>5037197.05</v>
      </c>
    </row>
    <row r="50" spans="1:16" outlineLevel="1">
      <c r="C50" s="378">
        <f>+C42-C49</f>
        <v>0</v>
      </c>
      <c r="D50" s="378">
        <f>+D42-D49</f>
        <v>0</v>
      </c>
    </row>
    <row r="51" spans="1:16" outlineLevel="1">
      <c r="C51" s="377">
        <f>+súvaha_vykaz!D93</f>
        <v>0</v>
      </c>
      <c r="D51" s="377">
        <f>+súvaha_vykaz!E93</f>
        <v>80527.490000000005</v>
      </c>
    </row>
    <row r="52" spans="1:16" outlineLevel="1">
      <c r="C52" s="378">
        <f>+C46-C51</f>
        <v>0</v>
      </c>
      <c r="D52" s="378">
        <f>+D46-D51</f>
        <v>0</v>
      </c>
    </row>
    <row r="54" spans="1:16">
      <c r="A54" s="376" t="s">
        <v>1803</v>
      </c>
      <c r="C54" s="376" t="s">
        <v>1768</v>
      </c>
    </row>
    <row r="55" spans="1:16" hidden="1" outlineLevel="1">
      <c r="B55" s="386"/>
      <c r="C55" s="386">
        <v>2014</v>
      </c>
      <c r="D55" s="386">
        <v>2013</v>
      </c>
    </row>
    <row r="56" spans="1:16" hidden="1" outlineLevel="1">
      <c r="B56" s="253"/>
      <c r="C56" s="253"/>
      <c r="D56" s="253"/>
    </row>
    <row r="57" spans="1:16" hidden="1" outlineLevel="1">
      <c r="B57" s="263" t="s">
        <v>1619</v>
      </c>
      <c r="C57" s="422">
        <f>+D70</f>
        <v>0</v>
      </c>
      <c r="D57" s="422">
        <v>722.11</v>
      </c>
    </row>
    <row r="58" spans="1:16" hidden="1" outlineLevel="1">
      <c r="B58" s="261"/>
      <c r="C58" s="383"/>
      <c r="D58" s="422">
        <v>0</v>
      </c>
    </row>
    <row r="59" spans="1:16" hidden="1" outlineLevel="1">
      <c r="B59" s="261" t="s">
        <v>1620</v>
      </c>
      <c r="C59" s="256">
        <v>17632.47</v>
      </c>
      <c r="D59" s="383">
        <v>32331.48</v>
      </c>
      <c r="H59" s="475"/>
      <c r="I59" s="475"/>
      <c r="J59" s="545"/>
      <c r="K59" s="475"/>
      <c r="L59" s="475"/>
      <c r="M59" s="475"/>
      <c r="N59" s="475"/>
      <c r="O59" s="475"/>
      <c r="P59" s="570"/>
    </row>
    <row r="60" spans="1:16" hidden="1" outlineLevel="1">
      <c r="B60" s="261" t="s">
        <v>1621</v>
      </c>
      <c r="C60" s="383">
        <v>0</v>
      </c>
      <c r="D60" s="383">
        <v>0</v>
      </c>
      <c r="G60" s="377"/>
      <c r="H60" s="475"/>
      <c r="I60" s="475"/>
      <c r="J60" s="545"/>
      <c r="K60" s="475"/>
      <c r="L60" s="475"/>
      <c r="M60" s="475"/>
      <c r="N60" s="475"/>
      <c r="O60" s="475"/>
      <c r="P60" s="545"/>
    </row>
    <row r="61" spans="1:16" hidden="1" outlineLevel="1">
      <c r="B61" s="261" t="s">
        <v>1622</v>
      </c>
      <c r="C61" s="383">
        <f>SUM(C62:C69)</f>
        <v>17632.47</v>
      </c>
      <c r="D61" s="383">
        <f>SUM(D62:D69)</f>
        <v>33053.589999999997</v>
      </c>
      <c r="G61" s="377"/>
      <c r="H61" s="475"/>
      <c r="I61" s="475"/>
      <c r="J61" s="545"/>
      <c r="K61" s="475"/>
      <c r="L61" s="475"/>
      <c r="M61" s="475"/>
      <c r="N61" s="475"/>
      <c r="O61" s="475"/>
      <c r="P61" s="545"/>
    </row>
    <row r="62" spans="1:16" hidden="1" outlineLevel="1">
      <c r="B62" s="420" t="s">
        <v>1790</v>
      </c>
      <c r="C62" s="424"/>
      <c r="D62" s="383">
        <v>0</v>
      </c>
      <c r="G62" s="377"/>
      <c r="H62" s="475"/>
      <c r="I62" s="475"/>
      <c r="J62" s="545"/>
      <c r="K62" s="475"/>
      <c r="L62" s="475"/>
      <c r="M62" s="475"/>
      <c r="N62" s="475"/>
      <c r="O62" s="475"/>
      <c r="P62" s="475"/>
    </row>
    <row r="63" spans="1:16" hidden="1" outlineLevel="1">
      <c r="B63" s="430" t="s">
        <v>1801</v>
      </c>
      <c r="C63" s="424"/>
      <c r="D63" s="383">
        <v>0</v>
      </c>
      <c r="G63" s="377"/>
      <c r="H63" s="475"/>
      <c r="I63" s="475"/>
      <c r="J63" s="545"/>
      <c r="K63" s="475"/>
      <c r="L63" s="475"/>
      <c r="M63" s="475"/>
      <c r="N63" s="475"/>
      <c r="O63" s="475"/>
      <c r="P63" s="475"/>
    </row>
    <row r="64" spans="1:16" hidden="1" outlineLevel="1">
      <c r="B64" s="420" t="s">
        <v>1791</v>
      </c>
      <c r="C64" s="424"/>
      <c r="D64" s="383">
        <v>0</v>
      </c>
      <c r="G64" s="377"/>
      <c r="H64" s="475"/>
      <c r="I64" s="475"/>
      <c r="J64" s="545"/>
      <c r="K64" s="475"/>
      <c r="L64" s="475"/>
      <c r="M64" s="475"/>
      <c r="N64" s="475"/>
      <c r="O64" s="475"/>
      <c r="P64" s="475"/>
    </row>
    <row r="65" spans="1:16" hidden="1" outlineLevel="1">
      <c r="B65" s="420" t="s">
        <v>1792</v>
      </c>
      <c r="C65" s="424">
        <f>'HK 2014'!L81</f>
        <v>4838.24</v>
      </c>
      <c r="D65" s="383">
        <v>8967.14</v>
      </c>
      <c r="G65" s="377"/>
      <c r="H65" s="475"/>
      <c r="I65" s="475"/>
      <c r="J65" s="545"/>
      <c r="K65" s="475"/>
      <c r="L65" s="475"/>
      <c r="M65" s="475"/>
      <c r="N65" s="475"/>
      <c r="O65" s="475"/>
      <c r="P65" s="475"/>
    </row>
    <row r="66" spans="1:16" hidden="1" outlineLevel="1">
      <c r="B66" s="430" t="s">
        <v>1799</v>
      </c>
      <c r="C66" s="424"/>
      <c r="D66" s="383">
        <v>0</v>
      </c>
      <c r="G66" s="377"/>
      <c r="H66" s="475"/>
      <c r="I66" s="475"/>
      <c r="J66" s="545"/>
      <c r="K66" s="475"/>
      <c r="L66" s="475"/>
      <c r="M66" s="475"/>
      <c r="N66" s="475"/>
      <c r="O66" s="475"/>
      <c r="P66" s="475"/>
    </row>
    <row r="67" spans="1:16" hidden="1" outlineLevel="1">
      <c r="B67" s="430" t="s">
        <v>1800</v>
      </c>
      <c r="C67" s="424"/>
      <c r="D67" s="383">
        <v>0</v>
      </c>
      <c r="G67" s="377"/>
      <c r="H67" s="475"/>
      <c r="I67" s="475"/>
      <c r="J67" s="545"/>
      <c r="K67" s="475"/>
      <c r="L67" s="475"/>
      <c r="M67" s="475"/>
      <c r="N67" s="475"/>
      <c r="O67" s="475"/>
      <c r="P67" s="475"/>
    </row>
    <row r="68" spans="1:16" ht="25.5" hidden="1" outlineLevel="1">
      <c r="B68" s="430" t="s">
        <v>1802</v>
      </c>
      <c r="C68" s="424">
        <f>+'HK 2014'!L82</f>
        <v>12794.23</v>
      </c>
      <c r="D68" s="383">
        <v>24086.45</v>
      </c>
      <c r="G68" s="377"/>
      <c r="H68" s="475"/>
      <c r="I68" s="475"/>
      <c r="J68" s="545"/>
      <c r="K68" s="475"/>
      <c r="L68" s="475"/>
      <c r="M68" s="475"/>
      <c r="N68" s="475"/>
      <c r="O68" s="475"/>
      <c r="P68" s="475"/>
    </row>
    <row r="69" spans="1:16" hidden="1" outlineLevel="1">
      <c r="B69" s="420" t="s">
        <v>1793</v>
      </c>
      <c r="C69" s="431"/>
      <c r="D69" s="374">
        <v>0</v>
      </c>
      <c r="G69" s="377"/>
      <c r="H69" s="475"/>
      <c r="I69" s="475"/>
      <c r="J69" s="545"/>
      <c r="K69" s="475"/>
      <c r="L69" s="475"/>
      <c r="M69" s="475"/>
      <c r="N69" s="475"/>
      <c r="O69" s="475"/>
      <c r="P69" s="475"/>
    </row>
    <row r="70" spans="1:16" hidden="1" outlineLevel="1">
      <c r="B70" s="427" t="s">
        <v>1623</v>
      </c>
      <c r="C70" s="429">
        <f>+C57+C59-C61+C58</f>
        <v>0</v>
      </c>
      <c r="D70" s="429">
        <f>+D57+D59-D61+D58</f>
        <v>0</v>
      </c>
      <c r="G70" s="377"/>
      <c r="H70" s="475"/>
      <c r="I70" s="475"/>
      <c r="J70" s="545"/>
      <c r="K70" s="475"/>
      <c r="L70" s="475"/>
      <c r="M70" s="475"/>
      <c r="N70" s="475"/>
      <c r="O70" s="475"/>
      <c r="P70" s="475"/>
    </row>
    <row r="71" spans="1:16" hidden="1" outlineLevel="1">
      <c r="C71" s="377">
        <v>0</v>
      </c>
      <c r="D71" s="377">
        <v>0</v>
      </c>
      <c r="G71" s="377"/>
    </row>
    <row r="72" spans="1:16" hidden="1" outlineLevel="1">
      <c r="C72" s="378">
        <f>+C70-C71</f>
        <v>0</v>
      </c>
      <c r="D72" s="378">
        <f>+D70-D71</f>
        <v>0</v>
      </c>
    </row>
    <row r="73" spans="1:16" collapsed="1"/>
    <row r="74" spans="1:16">
      <c r="A74" s="376" t="s">
        <v>1809</v>
      </c>
      <c r="C74" s="376" t="s">
        <v>1768</v>
      </c>
    </row>
    <row r="75" spans="1:16" hidden="1" outlineLevel="1">
      <c r="B75" s="701" t="s">
        <v>1642</v>
      </c>
      <c r="C75" s="390" t="s">
        <v>1576</v>
      </c>
      <c r="D75" s="537" t="s">
        <v>1563</v>
      </c>
      <c r="E75" s="537" t="s">
        <v>1564</v>
      </c>
      <c r="F75" s="390" t="s">
        <v>1576</v>
      </c>
    </row>
    <row r="76" spans="1:16" hidden="1" outlineLevel="1">
      <c r="B76" s="702"/>
      <c r="C76" s="393" t="s">
        <v>1795</v>
      </c>
      <c r="D76" s="538"/>
      <c r="E76" s="538"/>
      <c r="F76" s="393" t="s">
        <v>1789</v>
      </c>
    </row>
    <row r="77" spans="1:16" hidden="1" outlineLevel="1">
      <c r="B77" s="253"/>
      <c r="C77" s="254"/>
      <c r="D77" s="254"/>
      <c r="E77" s="254"/>
      <c r="F77" s="254"/>
    </row>
    <row r="78" spans="1:16" hidden="1" outlineLevel="1">
      <c r="B78" s="261" t="s">
        <v>1643</v>
      </c>
      <c r="C78" s="383">
        <v>3867.33</v>
      </c>
      <c r="D78" s="383">
        <v>0</v>
      </c>
      <c r="E78" s="383">
        <v>3867.33</v>
      </c>
      <c r="F78" s="383">
        <f t="shared" ref="F78:F85" si="3">+C78+D78-E78</f>
        <v>0</v>
      </c>
    </row>
    <row r="79" spans="1:16" hidden="1" outlineLevel="1">
      <c r="B79" s="261" t="s">
        <v>1644</v>
      </c>
      <c r="C79" s="383">
        <v>0</v>
      </c>
      <c r="D79" s="383">
        <v>0</v>
      </c>
      <c r="E79" s="383">
        <v>0</v>
      </c>
      <c r="F79" s="383">
        <f t="shared" si="3"/>
        <v>0</v>
      </c>
    </row>
    <row r="80" spans="1:16" hidden="1" outlineLevel="1">
      <c r="B80" s="261" t="s">
        <v>1645</v>
      </c>
      <c r="C80" s="383">
        <v>0</v>
      </c>
      <c r="D80" s="383">
        <v>0</v>
      </c>
      <c r="E80" s="383">
        <v>0</v>
      </c>
      <c r="F80" s="383">
        <f t="shared" si="3"/>
        <v>0</v>
      </c>
    </row>
    <row r="81" spans="2:7" ht="25.5" hidden="1" outlineLevel="1">
      <c r="B81" s="261" t="s">
        <v>1646</v>
      </c>
      <c r="C81" s="383">
        <v>0</v>
      </c>
      <c r="D81" s="383">
        <v>0</v>
      </c>
      <c r="E81" s="383">
        <v>0</v>
      </c>
      <c r="F81" s="383">
        <f t="shared" si="3"/>
        <v>0</v>
      </c>
    </row>
    <row r="82" spans="2:7" ht="25.5" hidden="1" outlineLevel="1">
      <c r="B82" s="261" t="s">
        <v>1647</v>
      </c>
      <c r="C82" s="383">
        <v>0</v>
      </c>
      <c r="D82" s="383">
        <v>0</v>
      </c>
      <c r="E82" s="383">
        <v>0</v>
      </c>
      <c r="F82" s="383">
        <f t="shared" si="3"/>
        <v>0</v>
      </c>
    </row>
    <row r="83" spans="2:7" hidden="1" outlineLevel="1">
      <c r="B83" s="261" t="s">
        <v>1648</v>
      </c>
      <c r="C83" s="383">
        <v>0</v>
      </c>
      <c r="D83" s="383">
        <v>0</v>
      </c>
      <c r="E83" s="383">
        <v>0</v>
      </c>
      <c r="F83" s="383">
        <f t="shared" si="3"/>
        <v>0</v>
      </c>
    </row>
    <row r="84" spans="2:7" ht="25.5" hidden="1" outlineLevel="1">
      <c r="B84" s="261" t="s">
        <v>1649</v>
      </c>
      <c r="C84" s="383">
        <v>0</v>
      </c>
      <c r="D84" s="383">
        <v>0</v>
      </c>
      <c r="E84" s="383">
        <v>0</v>
      </c>
      <c r="F84" s="383">
        <f t="shared" si="3"/>
        <v>0</v>
      </c>
    </row>
    <row r="85" spans="2:7" hidden="1" outlineLevel="1">
      <c r="B85" s="435" t="s">
        <v>1650</v>
      </c>
      <c r="C85" s="383">
        <v>2586.34</v>
      </c>
      <c r="D85" s="383">
        <v>0</v>
      </c>
      <c r="E85" s="383">
        <v>2586.34</v>
      </c>
      <c r="F85" s="383">
        <f t="shared" si="3"/>
        <v>0</v>
      </c>
    </row>
    <row r="86" spans="2:7" hidden="1" outlineLevel="1">
      <c r="B86" s="427" t="s">
        <v>301</v>
      </c>
      <c r="C86" s="423">
        <f>SUM(C78:C85)</f>
        <v>6453.67</v>
      </c>
      <c r="D86" s="423">
        <f>SUM(D78:D85)</f>
        <v>0</v>
      </c>
      <c r="E86" s="423">
        <f>SUM(E78:E85)</f>
        <v>6453.67</v>
      </c>
      <c r="F86" s="423">
        <f>SUM(F78:F85)</f>
        <v>0</v>
      </c>
    </row>
    <row r="87" spans="2:7" hidden="1" outlineLevel="1">
      <c r="C87" s="377">
        <f>+súvaha_vykaz!E115</f>
        <v>6453.67</v>
      </c>
      <c r="D87" s="377"/>
      <c r="E87" s="377"/>
      <c r="F87" s="377">
        <f>+súvaha_vykaz!D117</f>
        <v>0</v>
      </c>
    </row>
    <row r="88" spans="2:7" hidden="1" outlineLevel="1">
      <c r="C88" s="378">
        <f>+C86-C87</f>
        <v>0</v>
      </c>
      <c r="F88" s="378">
        <f>+F86-F87</f>
        <v>0</v>
      </c>
    </row>
    <row r="89" spans="2:7" hidden="1" outlineLevel="1"/>
    <row r="90" spans="2:7" hidden="1" outlineLevel="1"/>
    <row r="91" spans="2:7" hidden="1" outlineLevel="1"/>
    <row r="92" spans="2:7" hidden="1" outlineLevel="1">
      <c r="B92" s="386"/>
      <c r="C92" s="432">
        <v>42004</v>
      </c>
      <c r="D92" s="432">
        <v>41639</v>
      </c>
    </row>
    <row r="93" spans="2:7" hidden="1" outlineLevel="1">
      <c r="B93" s="253" t="s">
        <v>1804</v>
      </c>
      <c r="C93" s="383">
        <f>+súvaha_vykaz!D116</f>
        <v>0</v>
      </c>
      <c r="D93" s="383">
        <f>+súvaha_vykaz!E116</f>
        <v>0</v>
      </c>
    </row>
    <row r="94" spans="2:7" hidden="1" outlineLevel="1">
      <c r="B94" s="433" t="s">
        <v>1806</v>
      </c>
      <c r="C94" s="424">
        <v>0</v>
      </c>
      <c r="D94" s="424"/>
    </row>
    <row r="95" spans="2:7" hidden="1" outlineLevel="1">
      <c r="B95" s="433" t="s">
        <v>1808</v>
      </c>
      <c r="C95" s="424">
        <v>0</v>
      </c>
      <c r="D95" s="424">
        <v>0</v>
      </c>
      <c r="G95" s="378">
        <f>+C93-C94-C95</f>
        <v>0</v>
      </c>
    </row>
    <row r="96" spans="2:7" hidden="1" outlineLevel="1">
      <c r="B96" s="253" t="s">
        <v>1805</v>
      </c>
      <c r="C96" s="383">
        <f>+súvaha_vykaz!D117</f>
        <v>0</v>
      </c>
      <c r="D96" s="383">
        <f>+súvaha_vykaz!E117</f>
        <v>6453.67</v>
      </c>
    </row>
    <row r="97" spans="1:8" hidden="1" outlineLevel="1">
      <c r="B97" s="433" t="s">
        <v>1807</v>
      </c>
      <c r="C97" s="383">
        <v>0</v>
      </c>
      <c r="D97" s="383">
        <v>3867.33</v>
      </c>
    </row>
    <row r="98" spans="1:8" hidden="1" outlineLevel="1">
      <c r="B98" s="433" t="s">
        <v>1808</v>
      </c>
      <c r="C98" s="424">
        <v>0</v>
      </c>
      <c r="D98" s="383">
        <v>2586.34</v>
      </c>
      <c r="G98" s="378">
        <f>C96-SUM(C97:C98)</f>
        <v>0</v>
      </c>
    </row>
    <row r="99" spans="1:8" hidden="1" outlineLevel="1">
      <c r="B99" s="389" t="s">
        <v>301</v>
      </c>
      <c r="C99" s="423">
        <f>+C93+C96</f>
        <v>0</v>
      </c>
      <c r="D99" s="423" t="s">
        <v>1562</v>
      </c>
    </row>
    <row r="100" spans="1:8" hidden="1" outlineLevel="1">
      <c r="C100" s="377">
        <f>+súvaha_vykaz!D115</f>
        <v>0</v>
      </c>
      <c r="D100" s="377">
        <f>+súvaha_vykaz!E115</f>
        <v>6453.67</v>
      </c>
    </row>
    <row r="101" spans="1:8" hidden="1" outlineLevel="1">
      <c r="C101" s="378">
        <f>+C99-C100</f>
        <v>0</v>
      </c>
    </row>
    <row r="102" spans="1:8" collapsed="1"/>
    <row r="103" spans="1:8">
      <c r="A103" s="376" t="s">
        <v>1810</v>
      </c>
      <c r="C103" s="376" t="s">
        <v>2697</v>
      </c>
    </row>
    <row r="104" spans="1:8" ht="63.75" hidden="1" outlineLevel="1">
      <c r="B104" s="454" t="s">
        <v>1812</v>
      </c>
      <c r="C104" s="454" t="s">
        <v>1770</v>
      </c>
      <c r="D104" s="478" t="s">
        <v>1813</v>
      </c>
      <c r="E104" s="478" t="s">
        <v>1814</v>
      </c>
      <c r="F104" s="478" t="s">
        <v>1815</v>
      </c>
      <c r="G104" s="449" t="s">
        <v>1816</v>
      </c>
      <c r="H104" s="449" t="s">
        <v>1817</v>
      </c>
    </row>
    <row r="105" spans="1:8" hidden="1" outlineLevel="1">
      <c r="B105" s="474" t="s">
        <v>1818</v>
      </c>
      <c r="C105" s="474" t="s">
        <v>1749</v>
      </c>
      <c r="D105" s="474" t="s">
        <v>1819</v>
      </c>
      <c r="E105" s="444">
        <v>42155</v>
      </c>
      <c r="F105" s="474" t="s">
        <v>1820</v>
      </c>
      <c r="G105" s="480"/>
      <c r="H105" s="424">
        <v>0</v>
      </c>
    </row>
    <row r="106" spans="1:8" hidden="1" outlineLevel="1">
      <c r="B106" s="474" t="s">
        <v>1821</v>
      </c>
      <c r="C106" s="474" t="s">
        <v>1749</v>
      </c>
      <c r="D106" s="474" t="s">
        <v>1822</v>
      </c>
      <c r="E106" s="444">
        <v>42004</v>
      </c>
      <c r="F106" s="474" t="s">
        <v>1562</v>
      </c>
      <c r="G106" s="463"/>
      <c r="H106" s="463"/>
    </row>
    <row r="107" spans="1:8" ht="15" hidden="1" outlineLevel="1">
      <c r="B107" s="456" t="s">
        <v>301</v>
      </c>
      <c r="C107" s="446"/>
      <c r="D107" s="446"/>
      <c r="E107" s="446"/>
      <c r="F107" s="446"/>
      <c r="G107" s="482">
        <f>SUM(G105:G106)</f>
        <v>0</v>
      </c>
      <c r="H107" s="482">
        <f>SUM(H105:H106)</f>
        <v>0</v>
      </c>
    </row>
    <row r="108" spans="1:8" hidden="1" outlineLevel="1">
      <c r="G108" s="377">
        <f>+súvaha_vykaz!D111</f>
        <v>0</v>
      </c>
      <c r="H108" s="377">
        <v>0</v>
      </c>
    </row>
    <row r="109" spans="1:8" hidden="1" outlineLevel="1">
      <c r="G109" s="378">
        <f>+G107-G108</f>
        <v>0</v>
      </c>
      <c r="H109" s="378">
        <f>+H107-H108</f>
        <v>0</v>
      </c>
    </row>
    <row r="110" spans="1:8" collapsed="1"/>
    <row r="112" spans="1:8">
      <c r="A112" s="376" t="s">
        <v>2696</v>
      </c>
      <c r="C112" s="376" t="s">
        <v>1768</v>
      </c>
    </row>
    <row r="113" spans="2:3">
      <c r="B113" s="555" t="s">
        <v>1812</v>
      </c>
      <c r="C113" s="556">
        <v>2013</v>
      </c>
    </row>
    <row r="114" spans="2:3">
      <c r="B114" s="552" t="s">
        <v>2687</v>
      </c>
      <c r="C114" s="557">
        <f>+VZaS_vykaz!G90</f>
        <v>149439.21</v>
      </c>
    </row>
    <row r="115" spans="2:3">
      <c r="B115" s="552" t="s">
        <v>2688</v>
      </c>
      <c r="C115" s="553">
        <v>2014</v>
      </c>
    </row>
    <row r="116" spans="2:3">
      <c r="B116" s="554" t="s">
        <v>2694</v>
      </c>
      <c r="C116" s="383">
        <v>0</v>
      </c>
    </row>
    <row r="117" spans="2:3">
      <c r="B117" s="554" t="s">
        <v>2689</v>
      </c>
      <c r="C117" s="383">
        <v>0</v>
      </c>
    </row>
    <row r="118" spans="2:3">
      <c r="B118" s="554" t="s">
        <v>2690</v>
      </c>
      <c r="C118" s="383">
        <v>0</v>
      </c>
    </row>
    <row r="119" spans="2:3">
      <c r="B119" s="554" t="s">
        <v>2691</v>
      </c>
      <c r="C119" s="383">
        <v>0</v>
      </c>
    </row>
    <row r="120" spans="2:3">
      <c r="B120" s="554" t="s">
        <v>2695</v>
      </c>
      <c r="C120" s="383">
        <f>+C114</f>
        <v>149439.21</v>
      </c>
    </row>
    <row r="121" spans="2:3">
      <c r="B121" s="554" t="s">
        <v>2692</v>
      </c>
      <c r="C121" s="383">
        <v>0</v>
      </c>
    </row>
    <row r="122" spans="2:3">
      <c r="B122" s="554" t="s">
        <v>2693</v>
      </c>
      <c r="C122" s="374">
        <v>0</v>
      </c>
    </row>
    <row r="123" spans="2:3">
      <c r="B123" s="552" t="s">
        <v>301</v>
      </c>
      <c r="C123" s="423">
        <f>SUM(C116:C122)</f>
        <v>149439.21</v>
      </c>
    </row>
  </sheetData>
  <mergeCells count="7">
    <mergeCell ref="G26:G27"/>
    <mergeCell ref="B75:B76"/>
    <mergeCell ref="B3:B4"/>
    <mergeCell ref="D26:D27"/>
    <mergeCell ref="B26:B27"/>
    <mergeCell ref="E26:E27"/>
    <mergeCell ref="F26:F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49"/>
  <sheetViews>
    <sheetView showGridLines="0" workbookViewId="0">
      <selection activeCell="G7" sqref="G7"/>
    </sheetView>
  </sheetViews>
  <sheetFormatPr defaultRowHeight="12.75" outlineLevelRow="1"/>
  <cols>
    <col min="1" max="1" width="9.140625" style="376"/>
    <col min="2" max="2" width="23" style="376" customWidth="1"/>
    <col min="3" max="3" width="14" style="376" customWidth="1"/>
    <col min="4" max="4" width="15.42578125" style="376" customWidth="1"/>
    <col min="5" max="5" width="9.42578125" style="376" customWidth="1"/>
    <col min="6" max="6" width="10.140625" style="376" customWidth="1"/>
    <col min="7" max="7" width="11.42578125" style="376" customWidth="1"/>
    <col min="8" max="8" width="15.42578125" style="376" customWidth="1"/>
    <col min="9" max="9" width="9.5703125" style="376" customWidth="1"/>
    <col min="10" max="10" width="6.5703125" style="376" customWidth="1"/>
    <col min="11" max="16384" width="9.140625" style="376"/>
  </cols>
  <sheetData>
    <row r="2" spans="1:10">
      <c r="A2" s="376" t="s">
        <v>1828</v>
      </c>
      <c r="C2" s="376" t="s">
        <v>1768</v>
      </c>
    </row>
    <row r="3" spans="1:10" outlineLevel="1">
      <c r="B3" s="436"/>
      <c r="C3" s="703" t="s">
        <v>1624</v>
      </c>
      <c r="D3" s="703"/>
      <c r="E3" s="703" t="s">
        <v>1625</v>
      </c>
      <c r="F3" s="703"/>
      <c r="G3" s="703" t="s">
        <v>301</v>
      </c>
      <c r="H3" s="703"/>
      <c r="I3" s="703" t="s">
        <v>1626</v>
      </c>
      <c r="J3" s="703"/>
    </row>
    <row r="4" spans="1:10" outlineLevel="1">
      <c r="B4" s="361"/>
      <c r="C4" s="361">
        <v>2014</v>
      </c>
      <c r="D4" s="361">
        <v>2013</v>
      </c>
      <c r="E4" s="361">
        <v>2014</v>
      </c>
      <c r="F4" s="361">
        <v>2013</v>
      </c>
      <c r="G4" s="361">
        <v>2014</v>
      </c>
      <c r="H4" s="361">
        <v>2013</v>
      </c>
      <c r="I4" s="361">
        <v>2014</v>
      </c>
      <c r="J4" s="361">
        <v>2013</v>
      </c>
    </row>
    <row r="5" spans="1:10" outlineLevel="1">
      <c r="B5" s="252" t="s">
        <v>299</v>
      </c>
      <c r="C5" s="481">
        <v>0</v>
      </c>
      <c r="D5" s="481">
        <v>0</v>
      </c>
      <c r="E5" s="481">
        <v>0</v>
      </c>
      <c r="F5" s="481">
        <v>0</v>
      </c>
      <c r="G5" s="481">
        <f>+C5+E5</f>
        <v>0</v>
      </c>
      <c r="H5" s="481">
        <f>+D5+F5</f>
        <v>0</v>
      </c>
      <c r="I5" s="383">
        <v>0</v>
      </c>
      <c r="J5" s="383">
        <v>0</v>
      </c>
    </row>
    <row r="6" spans="1:10" outlineLevel="1">
      <c r="B6" s="470" t="s">
        <v>729</v>
      </c>
      <c r="C6" s="481"/>
      <c r="D6" s="481"/>
      <c r="E6" s="481"/>
      <c r="F6" s="481"/>
      <c r="G6" s="481"/>
      <c r="H6" s="481"/>
      <c r="I6" s="383"/>
      <c r="J6" s="383"/>
    </row>
    <row r="7" spans="1:10" ht="25.5" outlineLevel="1">
      <c r="B7" s="253" t="s">
        <v>1627</v>
      </c>
      <c r="C7" s="457">
        <f>-PL!H2-osnova!S359</f>
        <v>5229569.5099999988</v>
      </c>
      <c r="D7" s="457">
        <v>9892428.4000000004</v>
      </c>
      <c r="E7" s="457">
        <v>0</v>
      </c>
      <c r="F7" s="457">
        <v>0</v>
      </c>
      <c r="G7" s="481">
        <f t="shared" ref="G7:G12" si="0">+C7+E7</f>
        <v>5229569.5099999988</v>
      </c>
      <c r="H7" s="481">
        <f t="shared" ref="H7:H12" si="1">+D7+F7</f>
        <v>9892428.4000000004</v>
      </c>
      <c r="I7" s="437">
        <f t="shared" ref="I7:I12" si="2">+G7/$G$15</f>
        <v>0.92744596145082514</v>
      </c>
      <c r="J7" s="383">
        <v>0</v>
      </c>
    </row>
    <row r="8" spans="1:10" ht="25.5" outlineLevel="1">
      <c r="B8" s="253" t="s">
        <v>1628</v>
      </c>
      <c r="C8" s="457">
        <f>-PL!I2</f>
        <v>54174.429999999993</v>
      </c>
      <c r="D8" s="457">
        <v>99879.74</v>
      </c>
      <c r="E8" s="457">
        <f>-PL!J2</f>
        <v>0</v>
      </c>
      <c r="F8" s="457">
        <v>0</v>
      </c>
      <c r="G8" s="481">
        <f t="shared" si="0"/>
        <v>54174.429999999993</v>
      </c>
      <c r="H8" s="481">
        <f t="shared" si="1"/>
        <v>99879.74</v>
      </c>
      <c r="I8" s="437">
        <f t="shared" si="2"/>
        <v>9.6076467138115212E-3</v>
      </c>
      <c r="J8" s="383">
        <v>0</v>
      </c>
    </row>
    <row r="9" spans="1:10" outlineLevel="1">
      <c r="B9" s="253" t="s">
        <v>1629</v>
      </c>
      <c r="C9" s="457">
        <f>-PL!O2</f>
        <v>17882.759999999998</v>
      </c>
      <c r="D9" s="457">
        <v>33799.47</v>
      </c>
      <c r="E9" s="457">
        <f>-PL!P2</f>
        <v>3925.12</v>
      </c>
      <c r="F9" s="457">
        <v>3720.94</v>
      </c>
      <c r="G9" s="481">
        <f t="shared" si="0"/>
        <v>21807.879999999997</v>
      </c>
      <c r="H9" s="481">
        <f t="shared" si="1"/>
        <v>37520.410000000003</v>
      </c>
      <c r="I9" s="437">
        <f t="shared" si="2"/>
        <v>3.8675516589135503E-3</v>
      </c>
      <c r="J9" s="383">
        <v>0</v>
      </c>
    </row>
    <row r="10" spans="1:10" outlineLevel="1">
      <c r="B10" s="253" t="s">
        <v>1630</v>
      </c>
      <c r="C10" s="457">
        <v>0</v>
      </c>
      <c r="D10" s="457">
        <v>0</v>
      </c>
      <c r="E10" s="457">
        <v>0</v>
      </c>
      <c r="F10" s="457">
        <v>0</v>
      </c>
      <c r="G10" s="481">
        <f t="shared" si="0"/>
        <v>0</v>
      </c>
      <c r="H10" s="481">
        <f t="shared" si="1"/>
        <v>0</v>
      </c>
      <c r="I10" s="437">
        <f t="shared" si="2"/>
        <v>0</v>
      </c>
      <c r="J10" s="383">
        <v>0</v>
      </c>
    </row>
    <row r="11" spans="1:10" ht="25.5" outlineLevel="1">
      <c r="B11" s="253" t="s">
        <v>1827</v>
      </c>
      <c r="C11" s="457">
        <v>0</v>
      </c>
      <c r="D11" s="457">
        <v>0</v>
      </c>
      <c r="E11" s="457">
        <f>-PL!N2</f>
        <v>325974.03999999998</v>
      </c>
      <c r="F11" s="457">
        <f>483235.52+194600.54</f>
        <v>677836.06</v>
      </c>
      <c r="G11" s="481">
        <f t="shared" si="0"/>
        <v>325974.03999999998</v>
      </c>
      <c r="H11" s="481">
        <f t="shared" si="1"/>
        <v>677836.06</v>
      </c>
      <c r="I11" s="437">
        <f t="shared" si="2"/>
        <v>5.7810362087683538E-2</v>
      </c>
      <c r="J11" s="383">
        <v>0</v>
      </c>
    </row>
    <row r="12" spans="1:10" outlineLevel="1">
      <c r="B12" s="253" t="s">
        <v>1632</v>
      </c>
      <c r="C12" s="461">
        <f>-PL!K2</f>
        <v>0</v>
      </c>
      <c r="D12" s="461">
        <v>2700</v>
      </c>
      <c r="E12" s="461">
        <f>-PL!L2</f>
        <v>7152.54</v>
      </c>
      <c r="F12" s="461">
        <v>13483.3</v>
      </c>
      <c r="G12" s="464">
        <f t="shared" si="0"/>
        <v>7152.54</v>
      </c>
      <c r="H12" s="464">
        <f t="shared" si="1"/>
        <v>16183.3</v>
      </c>
      <c r="I12" s="438">
        <f t="shared" si="2"/>
        <v>1.2684780887663326E-3</v>
      </c>
      <c r="J12" s="374">
        <v>0</v>
      </c>
    </row>
    <row r="13" spans="1:10" outlineLevel="1">
      <c r="B13" s="252" t="s">
        <v>1633</v>
      </c>
      <c r="C13" s="422">
        <f t="shared" ref="C13:J13" si="3">SUM(C5:C12)</f>
        <v>5301626.6999999983</v>
      </c>
      <c r="D13" s="422">
        <f t="shared" si="3"/>
        <v>10028807.610000001</v>
      </c>
      <c r="E13" s="422">
        <f t="shared" si="3"/>
        <v>337051.69999999995</v>
      </c>
      <c r="F13" s="422">
        <f t="shared" si="3"/>
        <v>695040.3</v>
      </c>
      <c r="G13" s="459">
        <f t="shared" si="3"/>
        <v>5638678.3999999985</v>
      </c>
      <c r="H13" s="459">
        <f t="shared" si="3"/>
        <v>10723847.910000002</v>
      </c>
      <c r="I13" s="484">
        <f t="shared" si="3"/>
        <v>1</v>
      </c>
      <c r="J13" s="422">
        <f t="shared" si="3"/>
        <v>0</v>
      </c>
    </row>
    <row r="14" spans="1:10" outlineLevel="1">
      <c r="B14" s="252" t="s">
        <v>417</v>
      </c>
      <c r="C14" s="374">
        <v>0</v>
      </c>
      <c r="D14" s="374">
        <v>0</v>
      </c>
      <c r="E14" s="374">
        <v>0</v>
      </c>
      <c r="F14" s="374">
        <v>0</v>
      </c>
      <c r="G14" s="464">
        <f t="shared" ref="G14" si="4">+C14+E14</f>
        <v>0</v>
      </c>
      <c r="H14" s="464">
        <f t="shared" ref="H14" si="5">+D14+F14</f>
        <v>0</v>
      </c>
      <c r="I14" s="374">
        <v>0</v>
      </c>
      <c r="J14" s="374">
        <v>0</v>
      </c>
    </row>
    <row r="15" spans="1:10" s="452" customFormat="1" ht="25.5" outlineLevel="1">
      <c r="B15" s="443" t="s">
        <v>1634</v>
      </c>
      <c r="C15" s="467">
        <f t="shared" ref="C15:I15" si="6">+C13+C14</f>
        <v>5301626.6999999983</v>
      </c>
      <c r="D15" s="467">
        <f t="shared" si="6"/>
        <v>10028807.610000001</v>
      </c>
      <c r="E15" s="467">
        <f t="shared" si="6"/>
        <v>337051.69999999995</v>
      </c>
      <c r="F15" s="467">
        <f t="shared" si="6"/>
        <v>695040.3</v>
      </c>
      <c r="G15" s="467">
        <f t="shared" si="6"/>
        <v>5638678.3999999985</v>
      </c>
      <c r="H15" s="467">
        <f t="shared" si="6"/>
        <v>10723847.910000002</v>
      </c>
      <c r="I15" s="479">
        <f t="shared" si="6"/>
        <v>1</v>
      </c>
      <c r="J15" s="467">
        <v>0</v>
      </c>
    </row>
    <row r="16" spans="1:10" outlineLevel="1">
      <c r="C16" s="377">
        <f>+VZaS_vykaz!D50</f>
        <v>5301626.6999999993</v>
      </c>
      <c r="D16" s="376">
        <v>10028807.609999999</v>
      </c>
      <c r="E16" s="377">
        <f>+VZaS_vykaz!E50+VZaS_vykaz!E51</f>
        <v>337051.7</v>
      </c>
      <c r="F16" s="376">
        <v>695040.3</v>
      </c>
      <c r="G16" s="377">
        <f>+VZaS_vykaz!F50+VZaS_vykaz!F51</f>
        <v>5638678.3999999994</v>
      </c>
      <c r="H16" s="377">
        <v>10723847.91</v>
      </c>
    </row>
    <row r="17" spans="1:11" outlineLevel="1">
      <c r="C17" s="378">
        <f t="shared" ref="C17:H17" si="7">+C15-C16</f>
        <v>0</v>
      </c>
      <c r="D17" s="378">
        <f>+D15-D16</f>
        <v>0</v>
      </c>
      <c r="E17" s="378">
        <f t="shared" si="7"/>
        <v>0</v>
      </c>
      <c r="F17" s="378">
        <f>+F15-F16</f>
        <v>0</v>
      </c>
      <c r="G17" s="378">
        <f t="shared" si="7"/>
        <v>0</v>
      </c>
      <c r="H17" s="378">
        <f t="shared" si="7"/>
        <v>0</v>
      </c>
    </row>
    <row r="18" spans="1:11" outlineLevel="1">
      <c r="E18" s="378">
        <f>+E13-VZaS_vykaz!E50</f>
        <v>0</v>
      </c>
    </row>
    <row r="19" spans="1:11" outlineLevel="1">
      <c r="E19" s="378">
        <f>+E14-VZaS_vykaz!E51</f>
        <v>0</v>
      </c>
    </row>
    <row r="21" spans="1:11">
      <c r="A21" s="376" t="s">
        <v>1829</v>
      </c>
      <c r="C21" s="376" t="s">
        <v>1768</v>
      </c>
    </row>
    <row r="22" spans="1:11">
      <c r="B22" s="391"/>
      <c r="C22" s="391"/>
      <c r="D22" s="699" t="s">
        <v>1624</v>
      </c>
      <c r="E22" s="699"/>
      <c r="F22" s="699" t="s">
        <v>1625</v>
      </c>
      <c r="G22" s="699"/>
      <c r="H22" s="699" t="s">
        <v>301</v>
      </c>
      <c r="I22" s="699"/>
    </row>
    <row r="23" spans="1:11">
      <c r="B23" s="394"/>
      <c r="C23" s="394" t="s">
        <v>421</v>
      </c>
      <c r="D23" s="411">
        <v>2014</v>
      </c>
      <c r="E23" s="411">
        <v>2013</v>
      </c>
      <c r="F23" s="411">
        <v>2014</v>
      </c>
      <c r="G23" s="411">
        <v>2013</v>
      </c>
      <c r="H23" s="411">
        <v>2014</v>
      </c>
      <c r="I23" s="411">
        <v>2013</v>
      </c>
    </row>
    <row r="24" spans="1:11">
      <c r="B24" s="253" t="s">
        <v>709</v>
      </c>
      <c r="C24" s="262">
        <v>50</v>
      </c>
      <c r="D24" s="481">
        <f>+VZaS_vykaz!D60</f>
        <v>0</v>
      </c>
      <c r="E24" s="481">
        <v>0</v>
      </c>
      <c r="F24" s="481">
        <f>+VZaS_vykaz!E60</f>
        <v>0</v>
      </c>
      <c r="G24" s="481">
        <v>0</v>
      </c>
      <c r="H24" s="373">
        <f>+D24+F24</f>
        <v>0</v>
      </c>
      <c r="I24" s="373">
        <f>+E24+G24</f>
        <v>0</v>
      </c>
      <c r="J24" s="439"/>
      <c r="K24" s="439"/>
    </row>
    <row r="25" spans="1:11">
      <c r="B25" s="253" t="s">
        <v>710</v>
      </c>
      <c r="C25" s="262">
        <v>51</v>
      </c>
      <c r="D25" s="481">
        <f>+VZaS_vykaz!D61</f>
        <v>0</v>
      </c>
      <c r="E25" s="481">
        <v>0</v>
      </c>
      <c r="F25" s="481">
        <f>+VZaS_vykaz!E61</f>
        <v>0</v>
      </c>
      <c r="G25" s="481">
        <v>0</v>
      </c>
      <c r="H25" s="373">
        <f t="shared" ref="H25:H28" si="8">+D25+F25</f>
        <v>0</v>
      </c>
      <c r="I25" s="373">
        <f t="shared" ref="I25:I28" si="9">+E25+G25</f>
        <v>0</v>
      </c>
      <c r="J25" s="377"/>
      <c r="K25" s="377"/>
    </row>
    <row r="26" spans="1:11">
      <c r="B26" s="253" t="s">
        <v>261</v>
      </c>
      <c r="C26" s="262">
        <v>52</v>
      </c>
      <c r="D26" s="481">
        <f>+VZaS_vykaz!D62</f>
        <v>0</v>
      </c>
      <c r="E26" s="481">
        <v>0</v>
      </c>
      <c r="F26" s="481">
        <f>+VZaS_vykaz!E62</f>
        <v>0</v>
      </c>
      <c r="G26" s="481">
        <v>0</v>
      </c>
      <c r="H26" s="373">
        <f t="shared" si="8"/>
        <v>0</v>
      </c>
      <c r="I26" s="373">
        <f t="shared" si="9"/>
        <v>0</v>
      </c>
      <c r="J26" s="377"/>
      <c r="K26" s="377"/>
    </row>
    <row r="27" spans="1:11">
      <c r="B27" s="253" t="s">
        <v>1659</v>
      </c>
      <c r="C27" s="262">
        <v>53</v>
      </c>
      <c r="D27" s="481">
        <f>+VZaS_vykaz!D63</f>
        <v>33.619999999999997</v>
      </c>
      <c r="E27" s="481">
        <f>+VZaS_vykaz!G63</f>
        <v>43.47</v>
      </c>
      <c r="F27" s="481">
        <f>+VZaS_vykaz!E63</f>
        <v>0</v>
      </c>
      <c r="G27" s="481">
        <v>0</v>
      </c>
      <c r="H27" s="373">
        <f t="shared" si="8"/>
        <v>33.619999999999997</v>
      </c>
      <c r="I27" s="373">
        <f t="shared" si="9"/>
        <v>43.47</v>
      </c>
      <c r="J27" s="377"/>
      <c r="K27" s="377"/>
    </row>
    <row r="28" spans="1:11">
      <c r="B28" s="253" t="s">
        <v>1660</v>
      </c>
      <c r="C28" s="262">
        <v>54</v>
      </c>
      <c r="D28" s="481">
        <f>+VZaS_vykaz!D64</f>
        <v>0</v>
      </c>
      <c r="E28" s="481">
        <f>+VZaS_vykaz!G64</f>
        <v>24.5</v>
      </c>
      <c r="F28" s="481">
        <f>+VZaS_vykaz!E64</f>
        <v>0</v>
      </c>
      <c r="G28" s="481">
        <v>0</v>
      </c>
      <c r="H28" s="373">
        <f t="shared" si="8"/>
        <v>0</v>
      </c>
      <c r="I28" s="373">
        <f t="shared" si="9"/>
        <v>24.5</v>
      </c>
      <c r="J28" s="377"/>
      <c r="K28" s="377"/>
    </row>
    <row r="29" spans="1:11" ht="24.75" customHeight="1">
      <c r="B29" s="440" t="s">
        <v>1661</v>
      </c>
      <c r="C29" s="476"/>
      <c r="D29" s="477">
        <v>0</v>
      </c>
      <c r="E29" s="477">
        <v>0</v>
      </c>
      <c r="F29" s="477">
        <v>0</v>
      </c>
      <c r="G29" s="477">
        <v>0</v>
      </c>
      <c r="H29" s="485">
        <f t="shared" ref="H29:H37" si="10">+D29+F29</f>
        <v>0</v>
      </c>
      <c r="I29" s="485">
        <f t="shared" ref="I29:I37" si="11">+E29+G29</f>
        <v>0</v>
      </c>
      <c r="J29" s="377"/>
      <c r="K29" s="377"/>
    </row>
    <row r="30" spans="1:11">
      <c r="B30" s="253" t="s">
        <v>252</v>
      </c>
      <c r="C30" s="262">
        <v>55</v>
      </c>
      <c r="D30" s="481">
        <f>+VZaS_vykaz!D65</f>
        <v>3080.6100000000006</v>
      </c>
      <c r="E30" s="481">
        <f>+VZaS_vykaz!G65</f>
        <v>1256.97</v>
      </c>
      <c r="F30" s="481">
        <f>+VZaS_vykaz!E65</f>
        <v>3047.99</v>
      </c>
      <c r="G30" s="481">
        <v>0</v>
      </c>
      <c r="H30" s="373">
        <f t="shared" si="10"/>
        <v>6128.6</v>
      </c>
      <c r="I30" s="373">
        <f t="shared" si="11"/>
        <v>1256.97</v>
      </c>
      <c r="J30" s="377"/>
      <c r="K30" s="377"/>
    </row>
    <row r="31" spans="1:11">
      <c r="B31" s="253" t="s">
        <v>249</v>
      </c>
      <c r="C31" s="262">
        <v>56</v>
      </c>
      <c r="D31" s="481">
        <f>+VZaS_vykaz!D66</f>
        <v>0</v>
      </c>
      <c r="E31" s="481">
        <v>0</v>
      </c>
      <c r="F31" s="481">
        <f>+VZaS_vykaz!E66</f>
        <v>0</v>
      </c>
      <c r="G31" s="481">
        <v>0</v>
      </c>
      <c r="H31" s="373">
        <f t="shared" si="10"/>
        <v>0</v>
      </c>
      <c r="I31" s="373">
        <f t="shared" si="11"/>
        <v>0</v>
      </c>
      <c r="J31" s="377"/>
      <c r="K31" s="377"/>
    </row>
    <row r="32" spans="1:11">
      <c r="B32" s="253" t="s">
        <v>737</v>
      </c>
      <c r="C32" s="262">
        <v>57</v>
      </c>
      <c r="D32" s="481">
        <f>+VZaS_vykaz!D67</f>
        <v>0</v>
      </c>
      <c r="E32" s="481">
        <v>0</v>
      </c>
      <c r="F32" s="481">
        <f>+VZaS_vykaz!E67</f>
        <v>0</v>
      </c>
      <c r="G32" s="481">
        <v>0</v>
      </c>
      <c r="H32" s="373">
        <f t="shared" si="10"/>
        <v>0</v>
      </c>
      <c r="I32" s="373">
        <f t="shared" si="11"/>
        <v>0</v>
      </c>
      <c r="J32" s="377"/>
      <c r="K32" s="377"/>
    </row>
    <row r="33" spans="2:11">
      <c r="B33" s="253" t="s">
        <v>243</v>
      </c>
      <c r="C33" s="262">
        <v>58</v>
      </c>
      <c r="D33" s="481">
        <f>+VZaS_vykaz!D68</f>
        <v>52172.66</v>
      </c>
      <c r="E33" s="481">
        <v>133190.03</v>
      </c>
      <c r="F33" s="481">
        <f>+VZaS_vykaz!E68</f>
        <v>71.28</v>
      </c>
      <c r="G33" s="481">
        <v>38.99</v>
      </c>
      <c r="H33" s="373">
        <f t="shared" si="10"/>
        <v>52243.94</v>
      </c>
      <c r="I33" s="373">
        <f t="shared" si="11"/>
        <v>133229.01999999999</v>
      </c>
      <c r="J33" s="377"/>
      <c r="K33" s="377"/>
    </row>
    <row r="34" spans="2:11">
      <c r="B34" s="441" t="s">
        <v>3008</v>
      </c>
      <c r="C34" s="442"/>
      <c r="D34" s="477">
        <f>-PL!D262</f>
        <v>4867.2</v>
      </c>
      <c r="E34" s="477">
        <v>13746.56</v>
      </c>
      <c r="F34" s="477">
        <v>0</v>
      </c>
      <c r="G34" s="477">
        <v>0</v>
      </c>
      <c r="H34" s="485">
        <f t="shared" si="10"/>
        <v>4867.2</v>
      </c>
      <c r="I34" s="485">
        <f>+E34+G34</f>
        <v>13746.56</v>
      </c>
      <c r="J34" s="377"/>
      <c r="K34" s="377"/>
    </row>
    <row r="35" spans="2:11">
      <c r="B35" s="441" t="s">
        <v>3010</v>
      </c>
      <c r="C35" s="442"/>
      <c r="D35" s="477">
        <f>-PL!D263</f>
        <v>41842.97</v>
      </c>
      <c r="E35" s="477">
        <v>0</v>
      </c>
      <c r="F35" s="477">
        <v>0</v>
      </c>
      <c r="G35" s="477">
        <v>0</v>
      </c>
      <c r="H35" s="485">
        <f t="shared" si="10"/>
        <v>41842.97</v>
      </c>
      <c r="I35" s="485">
        <f t="shared" ref="I35:I36" si="12">+E35+G35</f>
        <v>0</v>
      </c>
      <c r="J35" s="377"/>
      <c r="K35" s="377"/>
    </row>
    <row r="36" spans="2:11" ht="38.25">
      <c r="B36" s="440" t="s">
        <v>3009</v>
      </c>
      <c r="C36" s="442"/>
      <c r="D36" s="477">
        <v>0</v>
      </c>
      <c r="E36" s="477">
        <v>383.01</v>
      </c>
      <c r="F36" s="477">
        <v>0</v>
      </c>
      <c r="G36" s="477">
        <v>0</v>
      </c>
      <c r="H36" s="485">
        <f t="shared" si="10"/>
        <v>0</v>
      </c>
      <c r="I36" s="485">
        <f t="shared" si="12"/>
        <v>383.01</v>
      </c>
    </row>
    <row r="37" spans="2:11">
      <c r="B37" s="440" t="s">
        <v>1650</v>
      </c>
      <c r="C37" s="442"/>
      <c r="D37" s="477">
        <f>-(PL!D264+PL!D265+PL!D266)</f>
        <v>5462.4900000000007</v>
      </c>
      <c r="E37" s="477">
        <v>119060.46</v>
      </c>
      <c r="F37" s="477">
        <v>71.28</v>
      </c>
      <c r="G37" s="473">
        <v>38.99</v>
      </c>
      <c r="H37" s="485">
        <f t="shared" si="10"/>
        <v>5533.77</v>
      </c>
      <c r="I37" s="485">
        <f t="shared" si="11"/>
        <v>119099.45000000001</v>
      </c>
    </row>
    <row r="38" spans="2:11">
      <c r="B38" s="392" t="s">
        <v>1662</v>
      </c>
      <c r="C38" s="486"/>
      <c r="D38" s="467">
        <f t="shared" ref="D38:I38" si="13">SUM(D24:D28)+SUM(D30:D33)</f>
        <v>55286.890000000007</v>
      </c>
      <c r="E38" s="467">
        <f t="shared" si="13"/>
        <v>134514.97</v>
      </c>
      <c r="F38" s="467">
        <f t="shared" si="13"/>
        <v>3119.27</v>
      </c>
      <c r="G38" s="467">
        <f t="shared" si="13"/>
        <v>38.99</v>
      </c>
      <c r="H38" s="467">
        <f t="shared" si="13"/>
        <v>58406.16</v>
      </c>
      <c r="I38" s="467">
        <f t="shared" si="13"/>
        <v>134553.96</v>
      </c>
    </row>
    <row r="39" spans="2:11">
      <c r="D39" s="378">
        <f>D33-SUM(D34:D37)</f>
        <v>0</v>
      </c>
      <c r="E39" s="378">
        <f>E33-SUM(E34:E37)</f>
        <v>0</v>
      </c>
      <c r="F39" s="378">
        <f>F33-SUM(F34:F37)</f>
        <v>0</v>
      </c>
      <c r="J39" s="378">
        <f>H38-(VZaS_vykaz!F60+VZaS_vykaz!F61+VZaS_vykaz!F62+VZaS_vykaz!F63+VZaS_vykaz!F64+VZaS_vykaz!F65+VZaS_vykaz!F66+VZaS_vykaz!F67+VZaS_vykaz!F68)</f>
        <v>0</v>
      </c>
    </row>
    <row r="40" spans="2:11" s="475" customFormat="1">
      <c r="D40" s="419"/>
      <c r="F40" s="419"/>
      <c r="J40" s="419"/>
    </row>
    <row r="42" spans="2:11">
      <c r="B42" s="391"/>
      <c r="C42" s="391"/>
      <c r="D42" s="699" t="s">
        <v>1624</v>
      </c>
      <c r="E42" s="699"/>
      <c r="F42" s="699" t="s">
        <v>1625</v>
      </c>
      <c r="G42" s="699"/>
      <c r="H42" s="699" t="s">
        <v>301</v>
      </c>
      <c r="I42" s="699"/>
    </row>
    <row r="43" spans="2:11">
      <c r="B43" s="394"/>
      <c r="C43" s="394" t="s">
        <v>421</v>
      </c>
      <c r="D43" s="411">
        <v>2014</v>
      </c>
      <c r="E43" s="411">
        <v>2013</v>
      </c>
      <c r="F43" s="411">
        <v>2014</v>
      </c>
      <c r="G43" s="411">
        <v>2013</v>
      </c>
      <c r="H43" s="411">
        <v>2014</v>
      </c>
      <c r="I43" s="411">
        <v>2013</v>
      </c>
    </row>
    <row r="44" spans="2:11" ht="38.25">
      <c r="B44" s="253" t="s">
        <v>1655</v>
      </c>
      <c r="C44" s="262">
        <v>59</v>
      </c>
      <c r="D44" s="481">
        <f>+VZaS_vykaz!D69</f>
        <v>0</v>
      </c>
      <c r="E44" s="481">
        <v>0</v>
      </c>
      <c r="F44" s="481">
        <f>+VZaS_vykaz!E69</f>
        <v>47078.74</v>
      </c>
      <c r="G44" s="481">
        <v>0</v>
      </c>
      <c r="H44" s="481">
        <f>+D44+F44</f>
        <v>47078.74</v>
      </c>
      <c r="I44" s="481">
        <f>+E44+G44</f>
        <v>0</v>
      </c>
    </row>
    <row r="45" spans="2:11">
      <c r="B45" s="253" t="s">
        <v>743</v>
      </c>
      <c r="C45" s="262">
        <v>62</v>
      </c>
      <c r="D45" s="481">
        <f>+VZaS_vykaz!D72</f>
        <v>53008.349999999977</v>
      </c>
      <c r="E45" s="481">
        <v>123323.05</v>
      </c>
      <c r="F45" s="481">
        <f>+VZaS_vykaz!E72</f>
        <v>295635.69</v>
      </c>
      <c r="G45" s="481">
        <v>0</v>
      </c>
      <c r="H45" s="481">
        <f t="shared" ref="H45:H47" si="14">+D45+F45</f>
        <v>348644.04</v>
      </c>
      <c r="I45" s="481">
        <f t="shared" ref="I45:I47" si="15">+E45+G45</f>
        <v>123323.05</v>
      </c>
    </row>
    <row r="46" spans="2:11">
      <c r="B46" s="253" t="s">
        <v>745</v>
      </c>
      <c r="C46" s="262">
        <v>64</v>
      </c>
      <c r="D46" s="481">
        <f>+VZaS_vykaz!D74</f>
        <v>11141.26</v>
      </c>
      <c r="E46" s="481">
        <v>34449.08</v>
      </c>
      <c r="F46" s="481">
        <f>+VZaS_vykaz!E74</f>
        <v>0</v>
      </c>
      <c r="G46" s="481">
        <v>0</v>
      </c>
      <c r="H46" s="481">
        <f t="shared" si="14"/>
        <v>11141.26</v>
      </c>
      <c r="I46" s="481">
        <f t="shared" si="15"/>
        <v>34449.08</v>
      </c>
      <c r="J46" s="377"/>
      <c r="K46" s="377"/>
    </row>
    <row r="47" spans="2:11">
      <c r="B47" s="253" t="s">
        <v>1664</v>
      </c>
      <c r="C47" s="262">
        <v>66</v>
      </c>
      <c r="D47" s="481">
        <f>+VZaS_vykaz!D76</f>
        <v>0</v>
      </c>
      <c r="E47" s="481">
        <v>0</v>
      </c>
      <c r="F47" s="481">
        <f>+VZaS_vykaz!E76</f>
        <v>0</v>
      </c>
      <c r="G47" s="481">
        <v>0</v>
      </c>
      <c r="H47" s="481">
        <f t="shared" si="14"/>
        <v>0</v>
      </c>
      <c r="I47" s="481">
        <f t="shared" si="15"/>
        <v>0</v>
      </c>
    </row>
    <row r="48" spans="2:11" ht="25.5">
      <c r="B48" s="392" t="s">
        <v>1665</v>
      </c>
      <c r="C48" s="394"/>
      <c r="D48" s="467">
        <f>SUM(D44:D47)</f>
        <v>64149.609999999979</v>
      </c>
      <c r="E48" s="467">
        <f t="shared" ref="E48:I48" si="16">SUM(E44:E47)</f>
        <v>157772.13</v>
      </c>
      <c r="F48" s="467">
        <f t="shared" si="16"/>
        <v>342714.43</v>
      </c>
      <c r="G48" s="467">
        <f t="shared" si="16"/>
        <v>0</v>
      </c>
      <c r="H48" s="467">
        <f t="shared" si="16"/>
        <v>406864.04</v>
      </c>
      <c r="I48" s="467">
        <f t="shared" si="16"/>
        <v>157772.13</v>
      </c>
    </row>
    <row r="49" spans="10:10">
      <c r="J49" s="378">
        <f>H48-(VZaS_vykaz!F69+VZaS_vykaz!F72+VZaS_vykaz!F74+VZaS_vykaz!F76)</f>
        <v>0</v>
      </c>
    </row>
  </sheetData>
  <mergeCells count="10">
    <mergeCell ref="D42:E42"/>
    <mergeCell ref="F42:G42"/>
    <mergeCell ref="H42:I42"/>
    <mergeCell ref="C3:D3"/>
    <mergeCell ref="E3:F3"/>
    <mergeCell ref="G3:H3"/>
    <mergeCell ref="I3:J3"/>
    <mergeCell ref="D22:E22"/>
    <mergeCell ref="F22:G22"/>
    <mergeCell ref="H22:I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M36"/>
  <sheetViews>
    <sheetView showGridLines="0" topLeftCell="A19" zoomScale="130" zoomScaleNormal="130" workbookViewId="0">
      <selection activeCell="L26" sqref="L26"/>
    </sheetView>
  </sheetViews>
  <sheetFormatPr defaultRowHeight="12.75"/>
  <cols>
    <col min="1" max="1" width="25.42578125" style="376" customWidth="1"/>
    <col min="2" max="2" width="8.140625" style="376" customWidth="1"/>
    <col min="3" max="3" width="9.28515625" style="376" customWidth="1"/>
    <col min="4" max="4" width="9.140625" style="376" customWidth="1"/>
    <col min="5" max="5" width="8.28515625" style="376" customWidth="1"/>
    <col min="6" max="6" width="9.42578125" style="376" customWidth="1"/>
    <col min="7" max="7" width="9" style="376" customWidth="1"/>
    <col min="8" max="8" width="8.7109375" style="376" customWidth="1"/>
    <col min="9" max="9" width="9.28515625" style="376" customWidth="1"/>
    <col min="10" max="10" width="13.5703125" style="376" customWidth="1"/>
    <col min="11" max="16384" width="9.140625" style="376"/>
  </cols>
  <sheetData>
    <row r="2" spans="1:12">
      <c r="A2" s="436"/>
      <c r="B2" s="699" t="s">
        <v>1624</v>
      </c>
      <c r="C2" s="699"/>
      <c r="D2" s="699" t="s">
        <v>1625</v>
      </c>
      <c r="E2" s="699"/>
      <c r="F2" s="699" t="s">
        <v>301</v>
      </c>
      <c r="G2" s="699"/>
      <c r="K2" s="376">
        <v>2013</v>
      </c>
    </row>
    <row r="3" spans="1:12">
      <c r="A3" s="394"/>
      <c r="B3" s="411">
        <v>2014</v>
      </c>
      <c r="C3" s="411">
        <v>2013</v>
      </c>
      <c r="D3" s="411">
        <v>2014</v>
      </c>
      <c r="E3" s="411">
        <v>2013</v>
      </c>
      <c r="F3" s="411">
        <v>2014</v>
      </c>
      <c r="G3" s="411">
        <v>2013</v>
      </c>
      <c r="K3" s="376" t="s">
        <v>1641</v>
      </c>
      <c r="L3" s="376" t="s">
        <v>1640</v>
      </c>
    </row>
    <row r="4" spans="1:12">
      <c r="A4" s="253" t="s">
        <v>1841</v>
      </c>
      <c r="B4" s="481">
        <f>+PL!R2</f>
        <v>204566.85</v>
      </c>
      <c r="C4" s="481">
        <f>45269.99+359438.24+19511.06</f>
        <v>424219.29</v>
      </c>
      <c r="D4" s="481">
        <f>+PL!S2</f>
        <v>181441.13999999998</v>
      </c>
      <c r="E4" s="481">
        <f>363890.57+1313.99+218.84</f>
        <v>365423.4</v>
      </c>
      <c r="F4" s="451">
        <f>+B4+D4</f>
        <v>386007.99</v>
      </c>
      <c r="G4" s="451">
        <f>+C4+E4</f>
        <v>789642.69</v>
      </c>
      <c r="J4" s="571" t="s">
        <v>3012</v>
      </c>
      <c r="K4" s="571" t="s">
        <v>3013</v>
      </c>
      <c r="L4" s="571" t="s">
        <v>3027</v>
      </c>
    </row>
    <row r="5" spans="1:12">
      <c r="A5" s="253" t="s">
        <v>1666</v>
      </c>
      <c r="B5" s="481">
        <f>+PL!T2</f>
        <v>31699.73</v>
      </c>
      <c r="C5" s="481">
        <f>+'518 v 2013'!G7</f>
        <v>66487.929999999993</v>
      </c>
      <c r="D5" s="481">
        <f>+PL!U2</f>
        <v>0</v>
      </c>
      <c r="E5" s="481">
        <v>0</v>
      </c>
      <c r="F5" s="481">
        <f t="shared" ref="F5:F13" si="0">+B5+D5</f>
        <v>31699.73</v>
      </c>
      <c r="G5" s="481">
        <f t="shared" ref="G5:G13" si="1">+C5+E5</f>
        <v>66487.929999999993</v>
      </c>
      <c r="J5" s="571" t="s">
        <v>3014</v>
      </c>
      <c r="K5" s="571" t="s">
        <v>3015</v>
      </c>
      <c r="L5" s="571" t="s">
        <v>3028</v>
      </c>
    </row>
    <row r="6" spans="1:12">
      <c r="A6" s="253" t="s">
        <v>1652</v>
      </c>
      <c r="B6" s="481">
        <f>+PL!V2</f>
        <v>26615.64</v>
      </c>
      <c r="C6" s="481">
        <v>39239.17</v>
      </c>
      <c r="D6" s="481">
        <f>+PL!W2</f>
        <v>67.42</v>
      </c>
      <c r="E6" s="481">
        <v>185.73</v>
      </c>
      <c r="F6" s="481">
        <f t="shared" si="0"/>
        <v>26683.059999999998</v>
      </c>
      <c r="G6" s="481">
        <f t="shared" si="1"/>
        <v>39424.9</v>
      </c>
      <c r="J6" s="571" t="s">
        <v>3016</v>
      </c>
      <c r="K6" s="571" t="s">
        <v>3017</v>
      </c>
      <c r="L6" s="571">
        <v>218.84</v>
      </c>
    </row>
    <row r="7" spans="1:12">
      <c r="A7" s="253" t="s">
        <v>1653</v>
      </c>
      <c r="B7" s="481">
        <f>+PL!X2</f>
        <v>14595.18</v>
      </c>
      <c r="C7" s="481">
        <v>31925.06</v>
      </c>
      <c r="D7" s="481">
        <f>+PL!Y2</f>
        <v>661.75</v>
      </c>
      <c r="E7" s="481">
        <v>1884.07</v>
      </c>
      <c r="F7" s="481">
        <f t="shared" si="0"/>
        <v>15256.93</v>
      </c>
      <c r="G7" s="481">
        <f t="shared" si="1"/>
        <v>33809.130000000005</v>
      </c>
      <c r="J7" s="571" t="s">
        <v>3018</v>
      </c>
      <c r="K7" s="571" t="s">
        <v>3019</v>
      </c>
      <c r="L7" s="571">
        <v>185.73</v>
      </c>
    </row>
    <row r="8" spans="1:12">
      <c r="A8" s="253" t="s">
        <v>1654</v>
      </c>
      <c r="B8" s="481">
        <f>+PL!Z2</f>
        <v>172417.17</v>
      </c>
      <c r="C8" s="481">
        <v>331656.32000000001</v>
      </c>
      <c r="D8" s="481">
        <f>+PL!AA2</f>
        <v>69776.67</v>
      </c>
      <c r="E8" s="481">
        <v>139152.29999999999</v>
      </c>
      <c r="F8" s="481">
        <f t="shared" si="0"/>
        <v>242193.84000000003</v>
      </c>
      <c r="G8" s="481">
        <f t="shared" si="1"/>
        <v>470808.62</v>
      </c>
      <c r="J8" s="571" t="s">
        <v>1653</v>
      </c>
      <c r="K8" s="571" t="s">
        <v>3020</v>
      </c>
      <c r="L8" s="571" t="s">
        <v>3029</v>
      </c>
    </row>
    <row r="9" spans="1:12">
      <c r="A9" s="253" t="s">
        <v>1831</v>
      </c>
      <c r="B9" s="481">
        <f>+PL!AB2</f>
        <v>0</v>
      </c>
      <c r="C9" s="481">
        <v>0</v>
      </c>
      <c r="D9" s="481">
        <f>+PL!AC2</f>
        <v>0</v>
      </c>
      <c r="E9" s="481">
        <v>0</v>
      </c>
      <c r="F9" s="481">
        <f t="shared" si="0"/>
        <v>0</v>
      </c>
      <c r="G9" s="481">
        <f t="shared" ref="G9:G11" si="2">+C9+E9</f>
        <v>0</v>
      </c>
      <c r="J9" s="571" t="s">
        <v>1654</v>
      </c>
      <c r="K9" s="571" t="s">
        <v>3021</v>
      </c>
      <c r="L9" s="571" t="s">
        <v>3030</v>
      </c>
    </row>
    <row r="10" spans="1:12">
      <c r="A10" s="253" t="s">
        <v>1753</v>
      </c>
      <c r="B10" s="481">
        <f>+PL!AD2</f>
        <v>114667.84</v>
      </c>
      <c r="C10" s="481">
        <v>199452.95</v>
      </c>
      <c r="D10" s="481">
        <f>+PL!AE2</f>
        <v>520.92999999999995</v>
      </c>
      <c r="E10" s="481">
        <v>932.47</v>
      </c>
      <c r="F10" s="481">
        <f t="shared" si="0"/>
        <v>115188.76999999999</v>
      </c>
      <c r="G10" s="481">
        <f t="shared" si="2"/>
        <v>200385.42</v>
      </c>
      <c r="J10" s="475" t="s">
        <v>3022</v>
      </c>
      <c r="K10" s="475" t="s">
        <v>3023</v>
      </c>
      <c r="L10" s="571">
        <v>25.35</v>
      </c>
    </row>
    <row r="11" spans="1:12">
      <c r="A11" s="253" t="s">
        <v>1837</v>
      </c>
      <c r="B11" s="481">
        <f>+PL!AF2</f>
        <v>17240.919999999998</v>
      </c>
      <c r="C11" s="481">
        <f>+'518 v 2013'!G17</f>
        <v>37826.68</v>
      </c>
      <c r="D11" s="481">
        <f>+PL!AG2</f>
        <v>29.17</v>
      </c>
      <c r="E11" s="481">
        <v>0</v>
      </c>
      <c r="F11" s="481">
        <f t="shared" si="0"/>
        <v>17270.089999999997</v>
      </c>
      <c r="G11" s="481">
        <f t="shared" si="2"/>
        <v>37826.68</v>
      </c>
      <c r="J11" s="571" t="s">
        <v>3024</v>
      </c>
      <c r="K11" s="571" t="s">
        <v>3025</v>
      </c>
      <c r="L11" s="571">
        <v>932.47</v>
      </c>
    </row>
    <row r="12" spans="1:12">
      <c r="A12" s="253" t="s">
        <v>1839</v>
      </c>
      <c r="B12" s="481">
        <f>+PL!AH2</f>
        <v>30644.170000000002</v>
      </c>
      <c r="C12" s="481">
        <f>+'518 v 2013'!G16</f>
        <v>33804.67</v>
      </c>
      <c r="D12" s="481">
        <v>0</v>
      </c>
      <c r="E12" s="481">
        <v>0</v>
      </c>
      <c r="F12" s="481">
        <f t="shared" si="0"/>
        <v>30644.170000000002</v>
      </c>
      <c r="G12" s="481">
        <f t="shared" si="1"/>
        <v>33804.67</v>
      </c>
      <c r="J12" s="376" t="s">
        <v>396</v>
      </c>
      <c r="K12" s="376" t="s">
        <v>3026</v>
      </c>
      <c r="L12" s="571" t="s">
        <v>3031</v>
      </c>
    </row>
    <row r="13" spans="1:12">
      <c r="A13" s="253" t="s">
        <v>396</v>
      </c>
      <c r="B13" s="464">
        <f>+PL!AI2</f>
        <v>69101.41</v>
      </c>
      <c r="C13" s="464">
        <v>83441.37</v>
      </c>
      <c r="D13" s="464">
        <f>+PL!AJ2</f>
        <v>973.91000000000008</v>
      </c>
      <c r="E13" s="464">
        <f>1999.17+25.35</f>
        <v>2024.52</v>
      </c>
      <c r="F13" s="464">
        <f t="shared" si="0"/>
        <v>70075.320000000007</v>
      </c>
      <c r="G13" s="464">
        <f t="shared" si="1"/>
        <v>85465.89</v>
      </c>
    </row>
    <row r="14" spans="1:12">
      <c r="A14" s="392" t="s">
        <v>1667</v>
      </c>
      <c r="B14" s="455">
        <f t="shared" ref="B14:G14" si="3">SUM(B4:B13)</f>
        <v>681548.91000000015</v>
      </c>
      <c r="C14" s="455">
        <f t="shared" si="3"/>
        <v>1248053.44</v>
      </c>
      <c r="D14" s="455">
        <f t="shared" si="3"/>
        <v>253470.99</v>
      </c>
      <c r="E14" s="455">
        <f t="shared" si="3"/>
        <v>509602.49</v>
      </c>
      <c r="F14" s="455">
        <f t="shared" si="3"/>
        <v>935019.90000000014</v>
      </c>
      <c r="G14" s="455">
        <f t="shared" si="3"/>
        <v>1757655.9299999997</v>
      </c>
    </row>
    <row r="15" spans="1:12">
      <c r="B15" s="377">
        <f>+VZaS_vykaz!D12</f>
        <v>681548.91</v>
      </c>
      <c r="C15" s="377">
        <v>1248053.44</v>
      </c>
      <c r="D15" s="377">
        <f>+VZaS_vykaz!E12</f>
        <v>253470.99</v>
      </c>
      <c r="E15" s="376">
        <v>509602.49</v>
      </c>
      <c r="F15" s="377">
        <f>+VZaS_vykaz!F12</f>
        <v>935019.9</v>
      </c>
      <c r="G15" s="377">
        <f>+VZaS_vykaz!G12</f>
        <v>1757655.93</v>
      </c>
    </row>
    <row r="16" spans="1:12">
      <c r="B16" s="378">
        <f t="shared" ref="B16:G16" si="4">+B15-B14</f>
        <v>0</v>
      </c>
      <c r="C16" s="378">
        <f t="shared" si="4"/>
        <v>0</v>
      </c>
      <c r="D16" s="378">
        <f t="shared" si="4"/>
        <v>0</v>
      </c>
      <c r="E16" s="378">
        <f t="shared" si="4"/>
        <v>0</v>
      </c>
      <c r="F16" s="378">
        <f t="shared" si="4"/>
        <v>0</v>
      </c>
      <c r="G16" s="378">
        <f t="shared" si="4"/>
        <v>0</v>
      </c>
    </row>
    <row r="19" spans="1:13">
      <c r="A19" s="391"/>
      <c r="B19" s="391"/>
      <c r="C19" s="699" t="s">
        <v>1624</v>
      </c>
      <c r="D19" s="699"/>
      <c r="E19" s="699" t="s">
        <v>1625</v>
      </c>
      <c r="F19" s="699"/>
      <c r="G19" s="699" t="s">
        <v>301</v>
      </c>
      <c r="H19" s="699"/>
    </row>
    <row r="20" spans="1:13">
      <c r="A20" s="394"/>
      <c r="B20" s="394" t="s">
        <v>421</v>
      </c>
      <c r="C20" s="411">
        <v>2014</v>
      </c>
      <c r="D20" s="411">
        <v>2013</v>
      </c>
      <c r="E20" s="411">
        <v>2014</v>
      </c>
      <c r="F20" s="411">
        <v>2013</v>
      </c>
      <c r="G20" s="411">
        <v>2014</v>
      </c>
      <c r="H20" s="411">
        <v>2013</v>
      </c>
    </row>
    <row r="21" spans="1:13">
      <c r="A21" s="253" t="s">
        <v>1668</v>
      </c>
      <c r="B21" s="262">
        <v>16</v>
      </c>
      <c r="C21" s="481">
        <f>+VZaS_vykaz!D21</f>
        <v>8416</v>
      </c>
      <c r="D21" s="481">
        <v>8.6300000000000008</v>
      </c>
      <c r="E21" s="481">
        <f>+VZaS_vykaz!E21</f>
        <v>0</v>
      </c>
      <c r="F21" s="481">
        <v>0</v>
      </c>
      <c r="G21" s="481">
        <f>+C21+E21</f>
        <v>8416</v>
      </c>
      <c r="H21" s="481">
        <f>+D21+F21</f>
        <v>8.6300000000000008</v>
      </c>
      <c r="I21" s="377"/>
      <c r="J21" s="377"/>
      <c r="M21" s="377"/>
    </row>
    <row r="22" spans="1:13">
      <c r="A22" s="253" t="s">
        <v>710</v>
      </c>
      <c r="B22" s="262">
        <v>17</v>
      </c>
      <c r="C22" s="481">
        <f>+VZaS_vykaz!D22</f>
        <v>2000</v>
      </c>
      <c r="D22" s="481">
        <v>1300</v>
      </c>
      <c r="E22" s="481">
        <f>+VZaS_vykaz!E22</f>
        <v>0</v>
      </c>
      <c r="F22" s="481">
        <v>0</v>
      </c>
      <c r="G22" s="481">
        <f t="shared" ref="G22:G33" si="5">+C22+E22</f>
        <v>2000</v>
      </c>
      <c r="H22" s="481">
        <f t="shared" ref="H22:H33" si="6">+D22+F22</f>
        <v>1300</v>
      </c>
      <c r="I22" s="377"/>
      <c r="J22" s="377"/>
      <c r="M22" s="377"/>
    </row>
    <row r="23" spans="1:13">
      <c r="A23" s="253" t="s">
        <v>1669</v>
      </c>
      <c r="B23" s="262">
        <v>18</v>
      </c>
      <c r="C23" s="481">
        <f>+VZaS_vykaz!D23</f>
        <v>0</v>
      </c>
      <c r="D23" s="481">
        <v>0</v>
      </c>
      <c r="E23" s="481">
        <f>+VZaS_vykaz!E23</f>
        <v>0</v>
      </c>
      <c r="F23" s="481">
        <v>0</v>
      </c>
      <c r="G23" s="481">
        <f t="shared" si="5"/>
        <v>0</v>
      </c>
      <c r="H23" s="481">
        <f t="shared" si="6"/>
        <v>0</v>
      </c>
      <c r="I23" s="377"/>
      <c r="J23" s="377"/>
      <c r="M23" s="377"/>
    </row>
    <row r="24" spans="1:13">
      <c r="A24" s="253" t="s">
        <v>1659</v>
      </c>
      <c r="B24" s="262">
        <v>19</v>
      </c>
      <c r="C24" s="481">
        <f>+VZaS_vykaz!D24</f>
        <v>1.2</v>
      </c>
      <c r="D24" s="481">
        <v>3.99</v>
      </c>
      <c r="E24" s="481">
        <f>+VZaS_vykaz!E24</f>
        <v>0</v>
      </c>
      <c r="F24" s="481">
        <v>0</v>
      </c>
      <c r="G24" s="481">
        <f t="shared" si="5"/>
        <v>1.2</v>
      </c>
      <c r="H24" s="481">
        <f t="shared" si="6"/>
        <v>3.99</v>
      </c>
      <c r="I24" s="377"/>
      <c r="J24" s="377"/>
      <c r="M24" s="377"/>
    </row>
    <row r="25" spans="1:13">
      <c r="A25" s="253" t="s">
        <v>1670</v>
      </c>
      <c r="B25" s="262">
        <v>20</v>
      </c>
      <c r="C25" s="481">
        <f>+VZaS_vykaz!D25</f>
        <v>8.56</v>
      </c>
      <c r="D25" s="481">
        <v>6.83</v>
      </c>
      <c r="E25" s="481">
        <f>+VZaS_vykaz!E25</f>
        <v>0</v>
      </c>
      <c r="F25" s="481">
        <v>0</v>
      </c>
      <c r="G25" s="481">
        <f t="shared" si="5"/>
        <v>8.56</v>
      </c>
      <c r="H25" s="481">
        <f t="shared" si="6"/>
        <v>6.83</v>
      </c>
      <c r="I25" s="377"/>
      <c r="J25" s="377"/>
      <c r="M25" s="377"/>
    </row>
    <row r="26" spans="1:13" ht="25.5">
      <c r="A26" s="440" t="s">
        <v>1671</v>
      </c>
      <c r="B26" s="476"/>
      <c r="C26" s="477">
        <v>0</v>
      </c>
      <c r="D26" s="477">
        <v>0</v>
      </c>
      <c r="E26" s="477">
        <v>0</v>
      </c>
      <c r="F26" s="477">
        <v>0</v>
      </c>
      <c r="G26" s="477">
        <f t="shared" si="5"/>
        <v>0</v>
      </c>
      <c r="H26" s="477">
        <f t="shared" si="6"/>
        <v>0</v>
      </c>
      <c r="I26" s="377"/>
      <c r="J26" s="377"/>
      <c r="M26" s="377"/>
    </row>
    <row r="27" spans="1:13">
      <c r="A27" s="253" t="s">
        <v>357</v>
      </c>
      <c r="B27" s="262">
        <v>21</v>
      </c>
      <c r="C27" s="481">
        <f>+VZaS_vykaz!D26</f>
        <v>0</v>
      </c>
      <c r="D27" s="481">
        <v>0</v>
      </c>
      <c r="E27" s="481">
        <f>+VZaS_vykaz!E26</f>
        <v>0</v>
      </c>
      <c r="F27" s="481">
        <v>0</v>
      </c>
      <c r="G27" s="481">
        <f t="shared" si="5"/>
        <v>0</v>
      </c>
      <c r="H27" s="481">
        <f t="shared" si="6"/>
        <v>0</v>
      </c>
      <c r="I27" s="377"/>
      <c r="J27" s="377"/>
      <c r="M27" s="377"/>
    </row>
    <row r="28" spans="1:13">
      <c r="A28" s="253" t="s">
        <v>354</v>
      </c>
      <c r="B28" s="262">
        <v>22</v>
      </c>
      <c r="C28" s="481">
        <f>+VZaS_vykaz!D27</f>
        <v>0</v>
      </c>
      <c r="D28" s="481">
        <v>0</v>
      </c>
      <c r="E28" s="481">
        <f>+VZaS_vykaz!E27</f>
        <v>0</v>
      </c>
      <c r="F28" s="481">
        <v>0</v>
      </c>
      <c r="G28" s="481">
        <f t="shared" si="5"/>
        <v>0</v>
      </c>
      <c r="H28" s="481">
        <f t="shared" si="6"/>
        <v>0</v>
      </c>
      <c r="I28" s="377"/>
      <c r="J28" s="377"/>
      <c r="M28" s="377"/>
    </row>
    <row r="29" spans="1:13">
      <c r="A29" s="253" t="s">
        <v>711</v>
      </c>
      <c r="B29" s="262">
        <v>23</v>
      </c>
      <c r="C29" s="481">
        <f>+VZaS_vykaz!D28</f>
        <v>45000</v>
      </c>
      <c r="D29" s="481">
        <v>1095</v>
      </c>
      <c r="E29" s="481">
        <f>+VZaS_vykaz!E28</f>
        <v>0</v>
      </c>
      <c r="F29" s="481">
        <v>0</v>
      </c>
      <c r="G29" s="481">
        <f t="shared" si="5"/>
        <v>45000</v>
      </c>
      <c r="H29" s="481">
        <f t="shared" si="6"/>
        <v>1095</v>
      </c>
      <c r="I29" s="377"/>
      <c r="J29" s="377"/>
      <c r="M29" s="377"/>
    </row>
    <row r="30" spans="1:13">
      <c r="A30" s="253" t="s">
        <v>348</v>
      </c>
      <c r="B30" s="262">
        <v>24</v>
      </c>
      <c r="C30" s="481">
        <f>+VZaS_vykaz!D29</f>
        <v>13514.78</v>
      </c>
      <c r="D30" s="481">
        <v>29377.47</v>
      </c>
      <c r="E30" s="481">
        <f>+VZaS_vykaz!E29</f>
        <v>256.57</v>
      </c>
      <c r="F30" s="481">
        <v>536.9</v>
      </c>
      <c r="G30" s="481">
        <f t="shared" si="5"/>
        <v>13771.35</v>
      </c>
      <c r="H30" s="481">
        <f t="shared" si="6"/>
        <v>29914.370000000003</v>
      </c>
      <c r="I30" s="377"/>
      <c r="J30" s="377"/>
    </row>
    <row r="31" spans="1:13">
      <c r="A31" s="441" t="s">
        <v>1672</v>
      </c>
      <c r="B31" s="476"/>
      <c r="C31" s="472">
        <f>+PL!D165+osnova!T330</f>
        <v>11268.02</v>
      </c>
      <c r="D31" s="472">
        <v>19838.02</v>
      </c>
      <c r="E31" s="472">
        <f>+PL!D172</f>
        <v>163.69999999999999</v>
      </c>
      <c r="F31" s="472">
        <v>525.04999999999995</v>
      </c>
      <c r="G31" s="477">
        <f t="shared" si="5"/>
        <v>11431.720000000001</v>
      </c>
      <c r="H31" s="477">
        <f t="shared" si="6"/>
        <v>20363.07</v>
      </c>
    </row>
    <row r="32" spans="1:13">
      <c r="A32" s="441" t="s">
        <v>3054</v>
      </c>
      <c r="B32" s="476"/>
      <c r="C32" s="472">
        <f>+PL!D166</f>
        <v>9315.34</v>
      </c>
      <c r="D32" s="472">
        <v>12166.7</v>
      </c>
      <c r="E32" s="472">
        <v>0</v>
      </c>
      <c r="F32" s="472">
        <v>0</v>
      </c>
      <c r="G32" s="477">
        <f t="shared" si="5"/>
        <v>9315.34</v>
      </c>
      <c r="H32" s="477">
        <f t="shared" si="6"/>
        <v>12166.7</v>
      </c>
    </row>
    <row r="33" spans="1:8">
      <c r="A33" s="441" t="s">
        <v>1650</v>
      </c>
      <c r="B33" s="476"/>
      <c r="C33" s="472">
        <v>-7068.58</v>
      </c>
      <c r="D33" s="472">
        <v>-2627.25</v>
      </c>
      <c r="E33" s="472">
        <v>92.87</v>
      </c>
      <c r="F33" s="472">
        <v>11.85</v>
      </c>
      <c r="G33" s="477">
        <f t="shared" si="5"/>
        <v>-6975.71</v>
      </c>
      <c r="H33" s="477">
        <f t="shared" si="6"/>
        <v>-2615.4</v>
      </c>
    </row>
    <row r="34" spans="1:8">
      <c r="A34" s="392" t="s">
        <v>1673</v>
      </c>
      <c r="B34" s="486"/>
      <c r="C34" s="471">
        <f t="shared" ref="C34:G34" si="7">SUM(C21:C25)+SUM(C27:C30)</f>
        <v>68940.539999999994</v>
      </c>
      <c r="D34" s="471">
        <f t="shared" si="7"/>
        <v>31791.920000000002</v>
      </c>
      <c r="E34" s="471">
        <f t="shared" si="7"/>
        <v>256.57</v>
      </c>
      <c r="F34" s="471">
        <f t="shared" si="7"/>
        <v>536.9</v>
      </c>
      <c r="G34" s="471">
        <f t="shared" si="7"/>
        <v>69197.11</v>
      </c>
      <c r="H34" s="471">
        <f>SUM(H21:H25)+SUM(H27:H30)</f>
        <v>32328.820000000003</v>
      </c>
    </row>
    <row r="36" spans="1:8">
      <c r="C36" s="378">
        <f>C30-SUM(C31:C33)</f>
        <v>0</v>
      </c>
      <c r="D36" s="378">
        <f>D30-SUM(D31:D33)</f>
        <v>0</v>
      </c>
      <c r="E36" s="378">
        <f>E30-SUM(E31:E33)</f>
        <v>0</v>
      </c>
      <c r="F36" s="378">
        <f>F30-SUM(F31:F33)</f>
        <v>0</v>
      </c>
    </row>
  </sheetData>
  <mergeCells count="6">
    <mergeCell ref="B2:C2"/>
    <mergeCell ref="D2:E2"/>
    <mergeCell ref="F2:G2"/>
    <mergeCell ref="C19:D19"/>
    <mergeCell ref="E19:F19"/>
    <mergeCell ref="G19:H19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G18"/>
  <sheetViews>
    <sheetView showGridLines="0" workbookViewId="0">
      <selection activeCell="A5" sqref="A5"/>
    </sheetView>
  </sheetViews>
  <sheetFormatPr defaultRowHeight="11.25"/>
  <cols>
    <col min="1" max="16384" width="9.140625" style="215"/>
  </cols>
  <sheetData>
    <row r="3" spans="2:7">
      <c r="B3" s="221" t="s">
        <v>2634</v>
      </c>
    </row>
    <row r="7" spans="2:7">
      <c r="B7" s="594" t="s">
        <v>1846</v>
      </c>
      <c r="C7" s="594" t="s">
        <v>1847</v>
      </c>
      <c r="D7" s="593" t="s">
        <v>1849</v>
      </c>
      <c r="E7" s="593" t="s">
        <v>1850</v>
      </c>
      <c r="F7" s="593" t="s">
        <v>1851</v>
      </c>
      <c r="G7" s="593" t="s">
        <v>1852</v>
      </c>
    </row>
    <row r="8" spans="2:7">
      <c r="B8" s="594">
        <v>771</v>
      </c>
      <c r="C8" s="594" t="s">
        <v>3055</v>
      </c>
      <c r="D8" s="593">
        <v>6267.6</v>
      </c>
      <c r="E8" s="593">
        <v>-4050.6</v>
      </c>
      <c r="F8" s="593">
        <v>2217</v>
      </c>
      <c r="G8" s="595">
        <v>0</v>
      </c>
    </row>
    <row r="9" spans="2:7">
      <c r="B9" s="594" t="s">
        <v>3056</v>
      </c>
      <c r="C9" s="594" t="s">
        <v>3057</v>
      </c>
      <c r="D9" s="593">
        <v>4000</v>
      </c>
      <c r="E9" s="593">
        <v>-4000</v>
      </c>
      <c r="F9" s="593">
        <v>0</v>
      </c>
      <c r="G9" s="595">
        <v>0</v>
      </c>
    </row>
    <row r="10" spans="2:7">
      <c r="B10" s="594" t="s">
        <v>3058</v>
      </c>
      <c r="C10" s="594" t="s">
        <v>3059</v>
      </c>
      <c r="D10" s="593">
        <v>2267.6</v>
      </c>
      <c r="E10" s="593">
        <v>-50.6</v>
      </c>
      <c r="F10" s="593">
        <v>2217</v>
      </c>
      <c r="G10" s="595">
        <v>0</v>
      </c>
    </row>
    <row r="11" spans="2:7">
      <c r="B11" s="594">
        <v>775</v>
      </c>
      <c r="C11" s="594" t="s">
        <v>3060</v>
      </c>
      <c r="D11" s="593">
        <v>21066.7</v>
      </c>
      <c r="E11" s="593">
        <v>-21066.7</v>
      </c>
      <c r="F11" s="593">
        <v>0</v>
      </c>
      <c r="G11" s="595">
        <v>0</v>
      </c>
    </row>
    <row r="12" spans="2:7">
      <c r="B12" s="594" t="s">
        <v>3061</v>
      </c>
      <c r="C12" s="594" t="s">
        <v>3062</v>
      </c>
      <c r="D12" s="593">
        <v>19407.87</v>
      </c>
      <c r="E12" s="593">
        <v>-19407.87</v>
      </c>
      <c r="F12" s="593">
        <v>0</v>
      </c>
      <c r="G12" s="595">
        <v>0</v>
      </c>
    </row>
    <row r="13" spans="2:7">
      <c r="B13" s="594" t="s">
        <v>3063</v>
      </c>
      <c r="C13" s="594" t="s">
        <v>3064</v>
      </c>
      <c r="D13" s="593">
        <v>19407.87</v>
      </c>
      <c r="E13" s="593">
        <v>-19407.87</v>
      </c>
      <c r="F13" s="593">
        <v>0</v>
      </c>
      <c r="G13" s="595">
        <v>0</v>
      </c>
    </row>
    <row r="14" spans="2:7">
      <c r="B14" s="594" t="s">
        <v>3065</v>
      </c>
      <c r="C14" s="594" t="s">
        <v>3066</v>
      </c>
      <c r="D14" s="593">
        <v>1658.83</v>
      </c>
      <c r="E14" s="593">
        <v>-1658.83</v>
      </c>
      <c r="F14" s="593">
        <v>0</v>
      </c>
      <c r="G14" s="595">
        <v>0</v>
      </c>
    </row>
    <row r="15" spans="2:7">
      <c r="B15" s="594" t="s">
        <v>3067</v>
      </c>
      <c r="C15" s="594" t="s">
        <v>3068</v>
      </c>
      <c r="D15" s="593">
        <v>1398.83</v>
      </c>
      <c r="E15" s="593">
        <v>-1398.83</v>
      </c>
      <c r="F15" s="593">
        <v>0</v>
      </c>
      <c r="G15" s="595">
        <v>0</v>
      </c>
    </row>
    <row r="16" spans="2:7">
      <c r="B16" s="594" t="s">
        <v>3069</v>
      </c>
      <c r="C16" s="594" t="s">
        <v>3070</v>
      </c>
      <c r="D16" s="593">
        <v>260</v>
      </c>
      <c r="E16" s="593">
        <v>-260</v>
      </c>
      <c r="F16" s="593">
        <v>0</v>
      </c>
      <c r="G16" s="595">
        <v>0</v>
      </c>
    </row>
    <row r="17" spans="2:7">
      <c r="B17" s="594">
        <v>799</v>
      </c>
      <c r="C17" s="594" t="s">
        <v>3071</v>
      </c>
      <c r="D17" s="593">
        <v>27334.3</v>
      </c>
      <c r="E17" s="593">
        <v>0</v>
      </c>
      <c r="F17" s="593">
        <v>-27334.3</v>
      </c>
      <c r="G17" s="595">
        <v>0</v>
      </c>
    </row>
    <row r="18" spans="2:7">
      <c r="B18" s="594" t="s">
        <v>3072</v>
      </c>
      <c r="C18" s="594" t="s">
        <v>3073</v>
      </c>
      <c r="D18" s="593">
        <v>27334.3</v>
      </c>
      <c r="E18" s="593">
        <v>0</v>
      </c>
      <c r="F18" s="593">
        <v>-27334.3</v>
      </c>
      <c r="G18" s="595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AM276"/>
  <sheetViews>
    <sheetView view="pageBreakPreview" topLeftCell="A2" zoomScaleNormal="100" zoomScaleSheetLayoutView="100" workbookViewId="0">
      <selection activeCell="C2" sqref="B2:AL50"/>
    </sheetView>
  </sheetViews>
  <sheetFormatPr defaultRowHeight="12.75"/>
  <cols>
    <col min="1" max="1" width="2.5703125" style="179" customWidth="1"/>
    <col min="2" max="30" width="2.42578125" style="179" customWidth="1"/>
    <col min="31" max="31" width="2.7109375" style="179" customWidth="1"/>
    <col min="32" max="38" width="2.42578125" style="179" customWidth="1"/>
    <col min="39" max="39" width="2.5703125" style="179" customWidth="1"/>
    <col min="40" max="256" width="9.140625" style="179"/>
    <col min="257" max="259" width="2.5703125" style="179" customWidth="1"/>
    <col min="260" max="260" width="2.42578125" style="179" customWidth="1"/>
    <col min="261" max="285" width="2.5703125" style="179" customWidth="1"/>
    <col min="286" max="286" width="3.28515625" style="179" customWidth="1"/>
    <col min="287" max="287" width="2.85546875" style="179" customWidth="1"/>
    <col min="288" max="292" width="2.5703125" style="179" customWidth="1"/>
    <col min="293" max="512" width="9.140625" style="179"/>
    <col min="513" max="515" width="2.5703125" style="179" customWidth="1"/>
    <col min="516" max="516" width="2.42578125" style="179" customWidth="1"/>
    <col min="517" max="541" width="2.5703125" style="179" customWidth="1"/>
    <col min="542" max="542" width="3.28515625" style="179" customWidth="1"/>
    <col min="543" max="543" width="2.85546875" style="179" customWidth="1"/>
    <col min="544" max="548" width="2.5703125" style="179" customWidth="1"/>
    <col min="549" max="768" width="9.140625" style="179"/>
    <col min="769" max="771" width="2.5703125" style="179" customWidth="1"/>
    <col min="772" max="772" width="2.42578125" style="179" customWidth="1"/>
    <col min="773" max="797" width="2.5703125" style="179" customWidth="1"/>
    <col min="798" max="798" width="3.28515625" style="179" customWidth="1"/>
    <col min="799" max="799" width="2.85546875" style="179" customWidth="1"/>
    <col min="800" max="804" width="2.5703125" style="179" customWidth="1"/>
    <col min="805" max="1024" width="9.140625" style="179"/>
    <col min="1025" max="1027" width="2.5703125" style="179" customWidth="1"/>
    <col min="1028" max="1028" width="2.42578125" style="179" customWidth="1"/>
    <col min="1029" max="1053" width="2.5703125" style="179" customWidth="1"/>
    <col min="1054" max="1054" width="3.28515625" style="179" customWidth="1"/>
    <col min="1055" max="1055" width="2.85546875" style="179" customWidth="1"/>
    <col min="1056" max="1060" width="2.5703125" style="179" customWidth="1"/>
    <col min="1061" max="1280" width="9.140625" style="179"/>
    <col min="1281" max="1283" width="2.5703125" style="179" customWidth="1"/>
    <col min="1284" max="1284" width="2.42578125" style="179" customWidth="1"/>
    <col min="1285" max="1309" width="2.5703125" style="179" customWidth="1"/>
    <col min="1310" max="1310" width="3.28515625" style="179" customWidth="1"/>
    <col min="1311" max="1311" width="2.85546875" style="179" customWidth="1"/>
    <col min="1312" max="1316" width="2.5703125" style="179" customWidth="1"/>
    <col min="1317" max="1536" width="9.140625" style="179"/>
    <col min="1537" max="1539" width="2.5703125" style="179" customWidth="1"/>
    <col min="1540" max="1540" width="2.42578125" style="179" customWidth="1"/>
    <col min="1541" max="1565" width="2.5703125" style="179" customWidth="1"/>
    <col min="1566" max="1566" width="3.28515625" style="179" customWidth="1"/>
    <col min="1567" max="1567" width="2.85546875" style="179" customWidth="1"/>
    <col min="1568" max="1572" width="2.5703125" style="179" customWidth="1"/>
    <col min="1573" max="1792" width="9.140625" style="179"/>
    <col min="1793" max="1795" width="2.5703125" style="179" customWidth="1"/>
    <col min="1796" max="1796" width="2.42578125" style="179" customWidth="1"/>
    <col min="1797" max="1821" width="2.5703125" style="179" customWidth="1"/>
    <col min="1822" max="1822" width="3.28515625" style="179" customWidth="1"/>
    <col min="1823" max="1823" width="2.85546875" style="179" customWidth="1"/>
    <col min="1824" max="1828" width="2.5703125" style="179" customWidth="1"/>
    <col min="1829" max="2048" width="9.140625" style="179"/>
    <col min="2049" max="2051" width="2.5703125" style="179" customWidth="1"/>
    <col min="2052" max="2052" width="2.42578125" style="179" customWidth="1"/>
    <col min="2053" max="2077" width="2.5703125" style="179" customWidth="1"/>
    <col min="2078" max="2078" width="3.28515625" style="179" customWidth="1"/>
    <col min="2079" max="2079" width="2.85546875" style="179" customWidth="1"/>
    <col min="2080" max="2084" width="2.5703125" style="179" customWidth="1"/>
    <col min="2085" max="2304" width="9.140625" style="179"/>
    <col min="2305" max="2307" width="2.5703125" style="179" customWidth="1"/>
    <col min="2308" max="2308" width="2.42578125" style="179" customWidth="1"/>
    <col min="2309" max="2333" width="2.5703125" style="179" customWidth="1"/>
    <col min="2334" max="2334" width="3.28515625" style="179" customWidth="1"/>
    <col min="2335" max="2335" width="2.85546875" style="179" customWidth="1"/>
    <col min="2336" max="2340" width="2.5703125" style="179" customWidth="1"/>
    <col min="2341" max="2560" width="9.140625" style="179"/>
    <col min="2561" max="2563" width="2.5703125" style="179" customWidth="1"/>
    <col min="2564" max="2564" width="2.42578125" style="179" customWidth="1"/>
    <col min="2565" max="2589" width="2.5703125" style="179" customWidth="1"/>
    <col min="2590" max="2590" width="3.28515625" style="179" customWidth="1"/>
    <col min="2591" max="2591" width="2.85546875" style="179" customWidth="1"/>
    <col min="2592" max="2596" width="2.5703125" style="179" customWidth="1"/>
    <col min="2597" max="2816" width="9.140625" style="179"/>
    <col min="2817" max="2819" width="2.5703125" style="179" customWidth="1"/>
    <col min="2820" max="2820" width="2.42578125" style="179" customWidth="1"/>
    <col min="2821" max="2845" width="2.5703125" style="179" customWidth="1"/>
    <col min="2846" max="2846" width="3.28515625" style="179" customWidth="1"/>
    <col min="2847" max="2847" width="2.85546875" style="179" customWidth="1"/>
    <col min="2848" max="2852" width="2.5703125" style="179" customWidth="1"/>
    <col min="2853" max="3072" width="9.140625" style="179"/>
    <col min="3073" max="3075" width="2.5703125" style="179" customWidth="1"/>
    <col min="3076" max="3076" width="2.42578125" style="179" customWidth="1"/>
    <col min="3077" max="3101" width="2.5703125" style="179" customWidth="1"/>
    <col min="3102" max="3102" width="3.28515625" style="179" customWidth="1"/>
    <col min="3103" max="3103" width="2.85546875" style="179" customWidth="1"/>
    <col min="3104" max="3108" width="2.5703125" style="179" customWidth="1"/>
    <col min="3109" max="3328" width="9.140625" style="179"/>
    <col min="3329" max="3331" width="2.5703125" style="179" customWidth="1"/>
    <col min="3332" max="3332" width="2.42578125" style="179" customWidth="1"/>
    <col min="3333" max="3357" width="2.5703125" style="179" customWidth="1"/>
    <col min="3358" max="3358" width="3.28515625" style="179" customWidth="1"/>
    <col min="3359" max="3359" width="2.85546875" style="179" customWidth="1"/>
    <col min="3360" max="3364" width="2.5703125" style="179" customWidth="1"/>
    <col min="3365" max="3584" width="9.140625" style="179"/>
    <col min="3585" max="3587" width="2.5703125" style="179" customWidth="1"/>
    <col min="3588" max="3588" width="2.42578125" style="179" customWidth="1"/>
    <col min="3589" max="3613" width="2.5703125" style="179" customWidth="1"/>
    <col min="3614" max="3614" width="3.28515625" style="179" customWidth="1"/>
    <col min="3615" max="3615" width="2.85546875" style="179" customWidth="1"/>
    <col min="3616" max="3620" width="2.5703125" style="179" customWidth="1"/>
    <col min="3621" max="3840" width="9.140625" style="179"/>
    <col min="3841" max="3843" width="2.5703125" style="179" customWidth="1"/>
    <col min="3844" max="3844" width="2.42578125" style="179" customWidth="1"/>
    <col min="3845" max="3869" width="2.5703125" style="179" customWidth="1"/>
    <col min="3870" max="3870" width="3.28515625" style="179" customWidth="1"/>
    <col min="3871" max="3871" width="2.85546875" style="179" customWidth="1"/>
    <col min="3872" max="3876" width="2.5703125" style="179" customWidth="1"/>
    <col min="3877" max="4096" width="9.140625" style="179"/>
    <col min="4097" max="4099" width="2.5703125" style="179" customWidth="1"/>
    <col min="4100" max="4100" width="2.42578125" style="179" customWidth="1"/>
    <col min="4101" max="4125" width="2.5703125" style="179" customWidth="1"/>
    <col min="4126" max="4126" width="3.28515625" style="179" customWidth="1"/>
    <col min="4127" max="4127" width="2.85546875" style="179" customWidth="1"/>
    <col min="4128" max="4132" width="2.5703125" style="179" customWidth="1"/>
    <col min="4133" max="4352" width="9.140625" style="179"/>
    <col min="4353" max="4355" width="2.5703125" style="179" customWidth="1"/>
    <col min="4356" max="4356" width="2.42578125" style="179" customWidth="1"/>
    <col min="4357" max="4381" width="2.5703125" style="179" customWidth="1"/>
    <col min="4382" max="4382" width="3.28515625" style="179" customWidth="1"/>
    <col min="4383" max="4383" width="2.85546875" style="179" customWidth="1"/>
    <col min="4384" max="4388" width="2.5703125" style="179" customWidth="1"/>
    <col min="4389" max="4608" width="9.140625" style="179"/>
    <col min="4609" max="4611" width="2.5703125" style="179" customWidth="1"/>
    <col min="4612" max="4612" width="2.42578125" style="179" customWidth="1"/>
    <col min="4613" max="4637" width="2.5703125" style="179" customWidth="1"/>
    <col min="4638" max="4638" width="3.28515625" style="179" customWidth="1"/>
    <col min="4639" max="4639" width="2.85546875" style="179" customWidth="1"/>
    <col min="4640" max="4644" width="2.5703125" style="179" customWidth="1"/>
    <col min="4645" max="4864" width="9.140625" style="179"/>
    <col min="4865" max="4867" width="2.5703125" style="179" customWidth="1"/>
    <col min="4868" max="4868" width="2.42578125" style="179" customWidth="1"/>
    <col min="4869" max="4893" width="2.5703125" style="179" customWidth="1"/>
    <col min="4894" max="4894" width="3.28515625" style="179" customWidth="1"/>
    <col min="4895" max="4895" width="2.85546875" style="179" customWidth="1"/>
    <col min="4896" max="4900" width="2.5703125" style="179" customWidth="1"/>
    <col min="4901" max="5120" width="9.140625" style="179"/>
    <col min="5121" max="5123" width="2.5703125" style="179" customWidth="1"/>
    <col min="5124" max="5124" width="2.42578125" style="179" customWidth="1"/>
    <col min="5125" max="5149" width="2.5703125" style="179" customWidth="1"/>
    <col min="5150" max="5150" width="3.28515625" style="179" customWidth="1"/>
    <col min="5151" max="5151" width="2.85546875" style="179" customWidth="1"/>
    <col min="5152" max="5156" width="2.5703125" style="179" customWidth="1"/>
    <col min="5157" max="5376" width="9.140625" style="179"/>
    <col min="5377" max="5379" width="2.5703125" style="179" customWidth="1"/>
    <col min="5380" max="5380" width="2.42578125" style="179" customWidth="1"/>
    <col min="5381" max="5405" width="2.5703125" style="179" customWidth="1"/>
    <col min="5406" max="5406" width="3.28515625" style="179" customWidth="1"/>
    <col min="5407" max="5407" width="2.85546875" style="179" customWidth="1"/>
    <col min="5408" max="5412" width="2.5703125" style="179" customWidth="1"/>
    <col min="5413" max="5632" width="9.140625" style="179"/>
    <col min="5633" max="5635" width="2.5703125" style="179" customWidth="1"/>
    <col min="5636" max="5636" width="2.42578125" style="179" customWidth="1"/>
    <col min="5637" max="5661" width="2.5703125" style="179" customWidth="1"/>
    <col min="5662" max="5662" width="3.28515625" style="179" customWidth="1"/>
    <col min="5663" max="5663" width="2.85546875" style="179" customWidth="1"/>
    <col min="5664" max="5668" width="2.5703125" style="179" customWidth="1"/>
    <col min="5669" max="5888" width="9.140625" style="179"/>
    <col min="5889" max="5891" width="2.5703125" style="179" customWidth="1"/>
    <col min="5892" max="5892" width="2.42578125" style="179" customWidth="1"/>
    <col min="5893" max="5917" width="2.5703125" style="179" customWidth="1"/>
    <col min="5918" max="5918" width="3.28515625" style="179" customWidth="1"/>
    <col min="5919" max="5919" width="2.85546875" style="179" customWidth="1"/>
    <col min="5920" max="5924" width="2.5703125" style="179" customWidth="1"/>
    <col min="5925" max="6144" width="9.140625" style="179"/>
    <col min="6145" max="6147" width="2.5703125" style="179" customWidth="1"/>
    <col min="6148" max="6148" width="2.42578125" style="179" customWidth="1"/>
    <col min="6149" max="6173" width="2.5703125" style="179" customWidth="1"/>
    <col min="6174" max="6174" width="3.28515625" style="179" customWidth="1"/>
    <col min="6175" max="6175" width="2.85546875" style="179" customWidth="1"/>
    <col min="6176" max="6180" width="2.5703125" style="179" customWidth="1"/>
    <col min="6181" max="6400" width="9.140625" style="179"/>
    <col min="6401" max="6403" width="2.5703125" style="179" customWidth="1"/>
    <col min="6404" max="6404" width="2.42578125" style="179" customWidth="1"/>
    <col min="6405" max="6429" width="2.5703125" style="179" customWidth="1"/>
    <col min="6430" max="6430" width="3.28515625" style="179" customWidth="1"/>
    <col min="6431" max="6431" width="2.85546875" style="179" customWidth="1"/>
    <col min="6432" max="6436" width="2.5703125" style="179" customWidth="1"/>
    <col min="6437" max="6656" width="9.140625" style="179"/>
    <col min="6657" max="6659" width="2.5703125" style="179" customWidth="1"/>
    <col min="6660" max="6660" width="2.42578125" style="179" customWidth="1"/>
    <col min="6661" max="6685" width="2.5703125" style="179" customWidth="1"/>
    <col min="6686" max="6686" width="3.28515625" style="179" customWidth="1"/>
    <col min="6687" max="6687" width="2.85546875" style="179" customWidth="1"/>
    <col min="6688" max="6692" width="2.5703125" style="179" customWidth="1"/>
    <col min="6693" max="6912" width="9.140625" style="179"/>
    <col min="6913" max="6915" width="2.5703125" style="179" customWidth="1"/>
    <col min="6916" max="6916" width="2.42578125" style="179" customWidth="1"/>
    <col min="6917" max="6941" width="2.5703125" style="179" customWidth="1"/>
    <col min="6942" max="6942" width="3.28515625" style="179" customWidth="1"/>
    <col min="6943" max="6943" width="2.85546875" style="179" customWidth="1"/>
    <col min="6944" max="6948" width="2.5703125" style="179" customWidth="1"/>
    <col min="6949" max="7168" width="9.140625" style="179"/>
    <col min="7169" max="7171" width="2.5703125" style="179" customWidth="1"/>
    <col min="7172" max="7172" width="2.42578125" style="179" customWidth="1"/>
    <col min="7173" max="7197" width="2.5703125" style="179" customWidth="1"/>
    <col min="7198" max="7198" width="3.28515625" style="179" customWidth="1"/>
    <col min="7199" max="7199" width="2.85546875" style="179" customWidth="1"/>
    <col min="7200" max="7204" width="2.5703125" style="179" customWidth="1"/>
    <col min="7205" max="7424" width="9.140625" style="179"/>
    <col min="7425" max="7427" width="2.5703125" style="179" customWidth="1"/>
    <col min="7428" max="7428" width="2.42578125" style="179" customWidth="1"/>
    <col min="7429" max="7453" width="2.5703125" style="179" customWidth="1"/>
    <col min="7454" max="7454" width="3.28515625" style="179" customWidth="1"/>
    <col min="7455" max="7455" width="2.85546875" style="179" customWidth="1"/>
    <col min="7456" max="7460" width="2.5703125" style="179" customWidth="1"/>
    <col min="7461" max="7680" width="9.140625" style="179"/>
    <col min="7681" max="7683" width="2.5703125" style="179" customWidth="1"/>
    <col min="7684" max="7684" width="2.42578125" style="179" customWidth="1"/>
    <col min="7685" max="7709" width="2.5703125" style="179" customWidth="1"/>
    <col min="7710" max="7710" width="3.28515625" style="179" customWidth="1"/>
    <col min="7711" max="7711" width="2.85546875" style="179" customWidth="1"/>
    <col min="7712" max="7716" width="2.5703125" style="179" customWidth="1"/>
    <col min="7717" max="7936" width="9.140625" style="179"/>
    <col min="7937" max="7939" width="2.5703125" style="179" customWidth="1"/>
    <col min="7940" max="7940" width="2.42578125" style="179" customWidth="1"/>
    <col min="7941" max="7965" width="2.5703125" style="179" customWidth="1"/>
    <col min="7966" max="7966" width="3.28515625" style="179" customWidth="1"/>
    <col min="7967" max="7967" width="2.85546875" style="179" customWidth="1"/>
    <col min="7968" max="7972" width="2.5703125" style="179" customWidth="1"/>
    <col min="7973" max="8192" width="9.140625" style="179"/>
    <col min="8193" max="8195" width="2.5703125" style="179" customWidth="1"/>
    <col min="8196" max="8196" width="2.42578125" style="179" customWidth="1"/>
    <col min="8197" max="8221" width="2.5703125" style="179" customWidth="1"/>
    <col min="8222" max="8222" width="3.28515625" style="179" customWidth="1"/>
    <col min="8223" max="8223" width="2.85546875" style="179" customWidth="1"/>
    <col min="8224" max="8228" width="2.5703125" style="179" customWidth="1"/>
    <col min="8229" max="8448" width="9.140625" style="179"/>
    <col min="8449" max="8451" width="2.5703125" style="179" customWidth="1"/>
    <col min="8452" max="8452" width="2.42578125" style="179" customWidth="1"/>
    <col min="8453" max="8477" width="2.5703125" style="179" customWidth="1"/>
    <col min="8478" max="8478" width="3.28515625" style="179" customWidth="1"/>
    <col min="8479" max="8479" width="2.85546875" style="179" customWidth="1"/>
    <col min="8480" max="8484" width="2.5703125" style="179" customWidth="1"/>
    <col min="8485" max="8704" width="9.140625" style="179"/>
    <col min="8705" max="8707" width="2.5703125" style="179" customWidth="1"/>
    <col min="8708" max="8708" width="2.42578125" style="179" customWidth="1"/>
    <col min="8709" max="8733" width="2.5703125" style="179" customWidth="1"/>
    <col min="8734" max="8734" width="3.28515625" style="179" customWidth="1"/>
    <col min="8735" max="8735" width="2.85546875" style="179" customWidth="1"/>
    <col min="8736" max="8740" width="2.5703125" style="179" customWidth="1"/>
    <col min="8741" max="8960" width="9.140625" style="179"/>
    <col min="8961" max="8963" width="2.5703125" style="179" customWidth="1"/>
    <col min="8964" max="8964" width="2.42578125" style="179" customWidth="1"/>
    <col min="8965" max="8989" width="2.5703125" style="179" customWidth="1"/>
    <col min="8990" max="8990" width="3.28515625" style="179" customWidth="1"/>
    <col min="8991" max="8991" width="2.85546875" style="179" customWidth="1"/>
    <col min="8992" max="8996" width="2.5703125" style="179" customWidth="1"/>
    <col min="8997" max="9216" width="9.140625" style="179"/>
    <col min="9217" max="9219" width="2.5703125" style="179" customWidth="1"/>
    <col min="9220" max="9220" width="2.42578125" style="179" customWidth="1"/>
    <col min="9221" max="9245" width="2.5703125" style="179" customWidth="1"/>
    <col min="9246" max="9246" width="3.28515625" style="179" customWidth="1"/>
    <col min="9247" max="9247" width="2.85546875" style="179" customWidth="1"/>
    <col min="9248" max="9252" width="2.5703125" style="179" customWidth="1"/>
    <col min="9253" max="9472" width="9.140625" style="179"/>
    <col min="9473" max="9475" width="2.5703125" style="179" customWidth="1"/>
    <col min="9476" max="9476" width="2.42578125" style="179" customWidth="1"/>
    <col min="9477" max="9501" width="2.5703125" style="179" customWidth="1"/>
    <col min="9502" max="9502" width="3.28515625" style="179" customWidth="1"/>
    <col min="9503" max="9503" width="2.85546875" style="179" customWidth="1"/>
    <col min="9504" max="9508" width="2.5703125" style="179" customWidth="1"/>
    <col min="9509" max="9728" width="9.140625" style="179"/>
    <col min="9729" max="9731" width="2.5703125" style="179" customWidth="1"/>
    <col min="9732" max="9732" width="2.42578125" style="179" customWidth="1"/>
    <col min="9733" max="9757" width="2.5703125" style="179" customWidth="1"/>
    <col min="9758" max="9758" width="3.28515625" style="179" customWidth="1"/>
    <col min="9759" max="9759" width="2.85546875" style="179" customWidth="1"/>
    <col min="9760" max="9764" width="2.5703125" style="179" customWidth="1"/>
    <col min="9765" max="9984" width="9.140625" style="179"/>
    <col min="9985" max="9987" width="2.5703125" style="179" customWidth="1"/>
    <col min="9988" max="9988" width="2.42578125" style="179" customWidth="1"/>
    <col min="9989" max="10013" width="2.5703125" style="179" customWidth="1"/>
    <col min="10014" max="10014" width="3.28515625" style="179" customWidth="1"/>
    <col min="10015" max="10015" width="2.85546875" style="179" customWidth="1"/>
    <col min="10016" max="10020" width="2.5703125" style="179" customWidth="1"/>
    <col min="10021" max="10240" width="9.140625" style="179"/>
    <col min="10241" max="10243" width="2.5703125" style="179" customWidth="1"/>
    <col min="10244" max="10244" width="2.42578125" style="179" customWidth="1"/>
    <col min="10245" max="10269" width="2.5703125" style="179" customWidth="1"/>
    <col min="10270" max="10270" width="3.28515625" style="179" customWidth="1"/>
    <col min="10271" max="10271" width="2.85546875" style="179" customWidth="1"/>
    <col min="10272" max="10276" width="2.5703125" style="179" customWidth="1"/>
    <col min="10277" max="10496" width="9.140625" style="179"/>
    <col min="10497" max="10499" width="2.5703125" style="179" customWidth="1"/>
    <col min="10500" max="10500" width="2.42578125" style="179" customWidth="1"/>
    <col min="10501" max="10525" width="2.5703125" style="179" customWidth="1"/>
    <col min="10526" max="10526" width="3.28515625" style="179" customWidth="1"/>
    <col min="10527" max="10527" width="2.85546875" style="179" customWidth="1"/>
    <col min="10528" max="10532" width="2.5703125" style="179" customWidth="1"/>
    <col min="10533" max="10752" width="9.140625" style="179"/>
    <col min="10753" max="10755" width="2.5703125" style="179" customWidth="1"/>
    <col min="10756" max="10756" width="2.42578125" style="179" customWidth="1"/>
    <col min="10757" max="10781" width="2.5703125" style="179" customWidth="1"/>
    <col min="10782" max="10782" width="3.28515625" style="179" customWidth="1"/>
    <col min="10783" max="10783" width="2.85546875" style="179" customWidth="1"/>
    <col min="10784" max="10788" width="2.5703125" style="179" customWidth="1"/>
    <col min="10789" max="11008" width="9.140625" style="179"/>
    <col min="11009" max="11011" width="2.5703125" style="179" customWidth="1"/>
    <col min="11012" max="11012" width="2.42578125" style="179" customWidth="1"/>
    <col min="11013" max="11037" width="2.5703125" style="179" customWidth="1"/>
    <col min="11038" max="11038" width="3.28515625" style="179" customWidth="1"/>
    <col min="11039" max="11039" width="2.85546875" style="179" customWidth="1"/>
    <col min="11040" max="11044" width="2.5703125" style="179" customWidth="1"/>
    <col min="11045" max="11264" width="9.140625" style="179"/>
    <col min="11265" max="11267" width="2.5703125" style="179" customWidth="1"/>
    <col min="11268" max="11268" width="2.42578125" style="179" customWidth="1"/>
    <col min="11269" max="11293" width="2.5703125" style="179" customWidth="1"/>
    <col min="11294" max="11294" width="3.28515625" style="179" customWidth="1"/>
    <col min="11295" max="11295" width="2.85546875" style="179" customWidth="1"/>
    <col min="11296" max="11300" width="2.5703125" style="179" customWidth="1"/>
    <col min="11301" max="11520" width="9.140625" style="179"/>
    <col min="11521" max="11523" width="2.5703125" style="179" customWidth="1"/>
    <col min="11524" max="11524" width="2.42578125" style="179" customWidth="1"/>
    <col min="11525" max="11549" width="2.5703125" style="179" customWidth="1"/>
    <col min="11550" max="11550" width="3.28515625" style="179" customWidth="1"/>
    <col min="11551" max="11551" width="2.85546875" style="179" customWidth="1"/>
    <col min="11552" max="11556" width="2.5703125" style="179" customWidth="1"/>
    <col min="11557" max="11776" width="9.140625" style="179"/>
    <col min="11777" max="11779" width="2.5703125" style="179" customWidth="1"/>
    <col min="11780" max="11780" width="2.42578125" style="179" customWidth="1"/>
    <col min="11781" max="11805" width="2.5703125" style="179" customWidth="1"/>
    <col min="11806" max="11806" width="3.28515625" style="179" customWidth="1"/>
    <col min="11807" max="11807" width="2.85546875" style="179" customWidth="1"/>
    <col min="11808" max="11812" width="2.5703125" style="179" customWidth="1"/>
    <col min="11813" max="12032" width="9.140625" style="179"/>
    <col min="12033" max="12035" width="2.5703125" style="179" customWidth="1"/>
    <col min="12036" max="12036" width="2.42578125" style="179" customWidth="1"/>
    <col min="12037" max="12061" width="2.5703125" style="179" customWidth="1"/>
    <col min="12062" max="12062" width="3.28515625" style="179" customWidth="1"/>
    <col min="12063" max="12063" width="2.85546875" style="179" customWidth="1"/>
    <col min="12064" max="12068" width="2.5703125" style="179" customWidth="1"/>
    <col min="12069" max="12288" width="9.140625" style="179"/>
    <col min="12289" max="12291" width="2.5703125" style="179" customWidth="1"/>
    <col min="12292" max="12292" width="2.42578125" style="179" customWidth="1"/>
    <col min="12293" max="12317" width="2.5703125" style="179" customWidth="1"/>
    <col min="12318" max="12318" width="3.28515625" style="179" customWidth="1"/>
    <col min="12319" max="12319" width="2.85546875" style="179" customWidth="1"/>
    <col min="12320" max="12324" width="2.5703125" style="179" customWidth="1"/>
    <col min="12325" max="12544" width="9.140625" style="179"/>
    <col min="12545" max="12547" width="2.5703125" style="179" customWidth="1"/>
    <col min="12548" max="12548" width="2.42578125" style="179" customWidth="1"/>
    <col min="12549" max="12573" width="2.5703125" style="179" customWidth="1"/>
    <col min="12574" max="12574" width="3.28515625" style="179" customWidth="1"/>
    <col min="12575" max="12575" width="2.85546875" style="179" customWidth="1"/>
    <col min="12576" max="12580" width="2.5703125" style="179" customWidth="1"/>
    <col min="12581" max="12800" width="9.140625" style="179"/>
    <col min="12801" max="12803" width="2.5703125" style="179" customWidth="1"/>
    <col min="12804" max="12804" width="2.42578125" style="179" customWidth="1"/>
    <col min="12805" max="12829" width="2.5703125" style="179" customWidth="1"/>
    <col min="12830" max="12830" width="3.28515625" style="179" customWidth="1"/>
    <col min="12831" max="12831" width="2.85546875" style="179" customWidth="1"/>
    <col min="12832" max="12836" width="2.5703125" style="179" customWidth="1"/>
    <col min="12837" max="13056" width="9.140625" style="179"/>
    <col min="13057" max="13059" width="2.5703125" style="179" customWidth="1"/>
    <col min="13060" max="13060" width="2.42578125" style="179" customWidth="1"/>
    <col min="13061" max="13085" width="2.5703125" style="179" customWidth="1"/>
    <col min="13086" max="13086" width="3.28515625" style="179" customWidth="1"/>
    <col min="13087" max="13087" width="2.85546875" style="179" customWidth="1"/>
    <col min="13088" max="13092" width="2.5703125" style="179" customWidth="1"/>
    <col min="13093" max="13312" width="9.140625" style="179"/>
    <col min="13313" max="13315" width="2.5703125" style="179" customWidth="1"/>
    <col min="13316" max="13316" width="2.42578125" style="179" customWidth="1"/>
    <col min="13317" max="13341" width="2.5703125" style="179" customWidth="1"/>
    <col min="13342" max="13342" width="3.28515625" style="179" customWidth="1"/>
    <col min="13343" max="13343" width="2.85546875" style="179" customWidth="1"/>
    <col min="13344" max="13348" width="2.5703125" style="179" customWidth="1"/>
    <col min="13349" max="13568" width="9.140625" style="179"/>
    <col min="13569" max="13571" width="2.5703125" style="179" customWidth="1"/>
    <col min="13572" max="13572" width="2.42578125" style="179" customWidth="1"/>
    <col min="13573" max="13597" width="2.5703125" style="179" customWidth="1"/>
    <col min="13598" max="13598" width="3.28515625" style="179" customWidth="1"/>
    <col min="13599" max="13599" width="2.85546875" style="179" customWidth="1"/>
    <col min="13600" max="13604" width="2.5703125" style="179" customWidth="1"/>
    <col min="13605" max="13824" width="9.140625" style="179"/>
    <col min="13825" max="13827" width="2.5703125" style="179" customWidth="1"/>
    <col min="13828" max="13828" width="2.42578125" style="179" customWidth="1"/>
    <col min="13829" max="13853" width="2.5703125" style="179" customWidth="1"/>
    <col min="13854" max="13854" width="3.28515625" style="179" customWidth="1"/>
    <col min="13855" max="13855" width="2.85546875" style="179" customWidth="1"/>
    <col min="13856" max="13860" width="2.5703125" style="179" customWidth="1"/>
    <col min="13861" max="14080" width="9.140625" style="179"/>
    <col min="14081" max="14083" width="2.5703125" style="179" customWidth="1"/>
    <col min="14084" max="14084" width="2.42578125" style="179" customWidth="1"/>
    <col min="14085" max="14109" width="2.5703125" style="179" customWidth="1"/>
    <col min="14110" max="14110" width="3.28515625" style="179" customWidth="1"/>
    <col min="14111" max="14111" width="2.85546875" style="179" customWidth="1"/>
    <col min="14112" max="14116" width="2.5703125" style="179" customWidth="1"/>
    <col min="14117" max="14336" width="9.140625" style="179"/>
    <col min="14337" max="14339" width="2.5703125" style="179" customWidth="1"/>
    <col min="14340" max="14340" width="2.42578125" style="179" customWidth="1"/>
    <col min="14341" max="14365" width="2.5703125" style="179" customWidth="1"/>
    <col min="14366" max="14366" width="3.28515625" style="179" customWidth="1"/>
    <col min="14367" max="14367" width="2.85546875" style="179" customWidth="1"/>
    <col min="14368" max="14372" width="2.5703125" style="179" customWidth="1"/>
    <col min="14373" max="14592" width="9.140625" style="179"/>
    <col min="14593" max="14595" width="2.5703125" style="179" customWidth="1"/>
    <col min="14596" max="14596" width="2.42578125" style="179" customWidth="1"/>
    <col min="14597" max="14621" width="2.5703125" style="179" customWidth="1"/>
    <col min="14622" max="14622" width="3.28515625" style="179" customWidth="1"/>
    <col min="14623" max="14623" width="2.85546875" style="179" customWidth="1"/>
    <col min="14624" max="14628" width="2.5703125" style="179" customWidth="1"/>
    <col min="14629" max="14848" width="9.140625" style="179"/>
    <col min="14849" max="14851" width="2.5703125" style="179" customWidth="1"/>
    <col min="14852" max="14852" width="2.42578125" style="179" customWidth="1"/>
    <col min="14853" max="14877" width="2.5703125" style="179" customWidth="1"/>
    <col min="14878" max="14878" width="3.28515625" style="179" customWidth="1"/>
    <col min="14879" max="14879" width="2.85546875" style="179" customWidth="1"/>
    <col min="14880" max="14884" width="2.5703125" style="179" customWidth="1"/>
    <col min="14885" max="15104" width="9.140625" style="179"/>
    <col min="15105" max="15107" width="2.5703125" style="179" customWidth="1"/>
    <col min="15108" max="15108" width="2.42578125" style="179" customWidth="1"/>
    <col min="15109" max="15133" width="2.5703125" style="179" customWidth="1"/>
    <col min="15134" max="15134" width="3.28515625" style="179" customWidth="1"/>
    <col min="15135" max="15135" width="2.85546875" style="179" customWidth="1"/>
    <col min="15136" max="15140" width="2.5703125" style="179" customWidth="1"/>
    <col min="15141" max="15360" width="9.140625" style="179"/>
    <col min="15361" max="15363" width="2.5703125" style="179" customWidth="1"/>
    <col min="15364" max="15364" width="2.42578125" style="179" customWidth="1"/>
    <col min="15365" max="15389" width="2.5703125" style="179" customWidth="1"/>
    <col min="15390" max="15390" width="3.28515625" style="179" customWidth="1"/>
    <col min="15391" max="15391" width="2.85546875" style="179" customWidth="1"/>
    <col min="15392" max="15396" width="2.5703125" style="179" customWidth="1"/>
    <col min="15397" max="15616" width="9.140625" style="179"/>
    <col min="15617" max="15619" width="2.5703125" style="179" customWidth="1"/>
    <col min="15620" max="15620" width="2.42578125" style="179" customWidth="1"/>
    <col min="15621" max="15645" width="2.5703125" style="179" customWidth="1"/>
    <col min="15646" max="15646" width="3.28515625" style="179" customWidth="1"/>
    <col min="15647" max="15647" width="2.85546875" style="179" customWidth="1"/>
    <col min="15648" max="15652" width="2.5703125" style="179" customWidth="1"/>
    <col min="15653" max="15872" width="9.140625" style="179"/>
    <col min="15873" max="15875" width="2.5703125" style="179" customWidth="1"/>
    <col min="15876" max="15876" width="2.42578125" style="179" customWidth="1"/>
    <col min="15877" max="15901" width="2.5703125" style="179" customWidth="1"/>
    <col min="15902" max="15902" width="3.28515625" style="179" customWidth="1"/>
    <col min="15903" max="15903" width="2.85546875" style="179" customWidth="1"/>
    <col min="15904" max="15908" width="2.5703125" style="179" customWidth="1"/>
    <col min="15909" max="16128" width="9.140625" style="179"/>
    <col min="16129" max="16131" width="2.5703125" style="179" customWidth="1"/>
    <col min="16132" max="16132" width="2.42578125" style="179" customWidth="1"/>
    <col min="16133" max="16157" width="2.5703125" style="179" customWidth="1"/>
    <col min="16158" max="16158" width="3.28515625" style="179" customWidth="1"/>
    <col min="16159" max="16159" width="2.85546875" style="179" customWidth="1"/>
    <col min="16160" max="16164" width="2.5703125" style="179" customWidth="1"/>
    <col min="16165" max="16384" width="9.140625" style="179"/>
  </cols>
  <sheetData>
    <row r="1" spans="2:38" ht="12.75" customHeight="1"/>
    <row r="2" spans="2:38" ht="12.75" customHeight="1">
      <c r="H2" s="180"/>
      <c r="I2" s="181"/>
      <c r="J2" s="181"/>
      <c r="K2" s="181"/>
      <c r="L2" s="181"/>
      <c r="M2" s="181"/>
      <c r="R2" s="181"/>
      <c r="S2" s="181"/>
      <c r="T2" s="181"/>
      <c r="U2" s="181"/>
      <c r="V2" s="181"/>
      <c r="W2" s="181"/>
      <c r="X2" s="182"/>
      <c r="Y2" s="182"/>
      <c r="Z2" s="182"/>
      <c r="AA2" s="182"/>
      <c r="AB2" s="182"/>
      <c r="AC2" s="182"/>
      <c r="AD2" s="183"/>
      <c r="AE2" s="183"/>
      <c r="AF2" s="183"/>
      <c r="AG2" s="183"/>
    </row>
    <row r="3" spans="2:38" ht="15.75">
      <c r="B3" s="294" t="s">
        <v>1676</v>
      </c>
      <c r="C3" s="295"/>
      <c r="D3" s="296"/>
      <c r="K3" s="293"/>
      <c r="L3" s="293"/>
      <c r="M3" s="293"/>
      <c r="N3" s="602" t="s">
        <v>1675</v>
      </c>
      <c r="O3" s="602"/>
      <c r="P3" s="602"/>
      <c r="Q3" s="602"/>
      <c r="R3" s="602"/>
      <c r="S3" s="602"/>
      <c r="T3" s="602"/>
      <c r="U3" s="602"/>
      <c r="V3" s="602"/>
      <c r="W3" s="602"/>
      <c r="X3" s="602"/>
      <c r="Y3" s="602"/>
      <c r="AD3" s="183"/>
      <c r="AE3" s="183"/>
      <c r="AF3" s="183"/>
      <c r="AG3" s="183"/>
    </row>
    <row r="4" spans="2:38" s="297" customFormat="1" ht="6" customHeight="1">
      <c r="B4" s="305"/>
      <c r="C4" s="305"/>
      <c r="D4" s="305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</row>
    <row r="5" spans="2:38" s="297" customFormat="1" ht="12">
      <c r="H5" s="300"/>
      <c r="I5" s="300"/>
      <c r="K5" s="301"/>
      <c r="L5" s="301"/>
      <c r="M5" s="301"/>
      <c r="N5" s="603" t="s">
        <v>1677</v>
      </c>
      <c r="O5" s="603"/>
      <c r="P5" s="603"/>
      <c r="Q5" s="603"/>
      <c r="R5" s="603"/>
      <c r="S5" s="603"/>
      <c r="T5" s="603"/>
      <c r="U5" s="603"/>
      <c r="V5" s="603"/>
      <c r="W5" s="603"/>
      <c r="X5" s="603"/>
      <c r="Y5" s="603"/>
      <c r="Z5" s="300"/>
      <c r="AA5" s="300"/>
    </row>
    <row r="6" spans="2:38" s="297" customFormat="1" ht="12">
      <c r="H6" s="300"/>
      <c r="J6" s="301"/>
      <c r="K6" s="301"/>
      <c r="L6" s="301"/>
      <c r="M6" s="301"/>
      <c r="N6" s="603" t="s">
        <v>1678</v>
      </c>
      <c r="O6" s="603"/>
      <c r="P6" s="603"/>
      <c r="Q6" s="603"/>
      <c r="R6" s="603"/>
      <c r="S6" s="603"/>
      <c r="T6" s="603"/>
      <c r="U6" s="603"/>
      <c r="V6" s="603"/>
      <c r="W6" s="603"/>
      <c r="X6" s="603"/>
      <c r="Y6" s="603"/>
      <c r="Z6" s="300"/>
      <c r="AA6" s="300"/>
    </row>
    <row r="7" spans="2:38" s="297" customFormat="1" ht="8.25" customHeight="1">
      <c r="H7" s="300"/>
      <c r="I7" s="300"/>
      <c r="J7" s="300"/>
      <c r="O7" s="303"/>
      <c r="Q7" s="304"/>
      <c r="R7" s="304"/>
      <c r="S7" s="304"/>
      <c r="T7" s="304"/>
      <c r="U7" s="300"/>
      <c r="V7" s="300"/>
      <c r="W7" s="300"/>
      <c r="X7" s="300"/>
      <c r="Y7" s="300"/>
      <c r="Z7" s="300"/>
      <c r="AA7" s="300"/>
    </row>
    <row r="8" spans="2:38" s="297" customFormat="1" ht="12.75" customHeight="1">
      <c r="P8" s="302" t="s">
        <v>1680</v>
      </c>
      <c r="T8" s="615">
        <f>'input data'!C7</f>
        <v>42004</v>
      </c>
      <c r="U8" s="615"/>
      <c r="V8" s="615"/>
      <c r="W8" s="615"/>
    </row>
    <row r="9" spans="2:38" s="297" customFormat="1" ht="12.75" customHeight="1"/>
    <row r="10" spans="2:38" s="297" customFormat="1" ht="12.75" customHeight="1"/>
    <row r="11" spans="2:38" s="297" customFormat="1" ht="12.75" customHeight="1">
      <c r="B11" s="607" t="s">
        <v>889</v>
      </c>
      <c r="C11" s="607"/>
      <c r="D11" s="607"/>
      <c r="E11" s="607"/>
      <c r="F11" s="607"/>
      <c r="G11" s="607"/>
      <c r="H11" s="607"/>
      <c r="I11" s="607"/>
      <c r="J11" s="607"/>
      <c r="K11" s="607"/>
      <c r="N11" s="612" t="s">
        <v>1699</v>
      </c>
      <c r="O11" s="612"/>
      <c r="P11" s="612"/>
      <c r="Q11" s="612"/>
      <c r="R11" s="612"/>
      <c r="S11" s="612"/>
      <c r="T11" s="612"/>
      <c r="U11" s="612"/>
      <c r="V11" s="612"/>
      <c r="W11" s="612"/>
      <c r="X11" s="612"/>
      <c r="Y11" s="307"/>
      <c r="AF11" s="307" t="s">
        <v>422</v>
      </c>
      <c r="AG11" s="307"/>
      <c r="AH11" s="307"/>
      <c r="AI11" s="308" t="s">
        <v>423</v>
      </c>
      <c r="AJ11" s="308"/>
      <c r="AK11" s="308"/>
      <c r="AL11" s="308"/>
    </row>
    <row r="12" spans="2:38" s="297" customFormat="1" ht="5.25" customHeight="1"/>
    <row r="13" spans="2:38" s="297" customFormat="1" ht="12.75" customHeight="1">
      <c r="B13" s="309" t="str">
        <f>LEFT('input data'!$C$19,1)</f>
        <v>3</v>
      </c>
      <c r="C13" s="309" t="str">
        <f>MID('input data'!$C$19,2,1)</f>
        <v>7</v>
      </c>
      <c r="D13" s="309" t="str">
        <f>MID('input data'!$C$19,3,1)</f>
        <v>8</v>
      </c>
      <c r="E13" s="309" t="str">
        <f>MID('input data'!$C$19,4,1)</f>
        <v>8</v>
      </c>
      <c r="F13" s="309" t="str">
        <f>MID('input data'!$C$19,5,1)</f>
        <v>7</v>
      </c>
      <c r="G13" s="309" t="str">
        <f>MID('input data'!$C$19,6,1)</f>
        <v>3</v>
      </c>
      <c r="H13" s="309" t="str">
        <f>MID('input data'!$C$19,7,1)</f>
        <v>3</v>
      </c>
      <c r="I13" s="309" t="str">
        <f>MID('input data'!$C$19,8,1)</f>
        <v>5</v>
      </c>
      <c r="J13" s="309" t="str">
        <f>MID('input data'!$C$19,9,1)</f>
        <v/>
      </c>
      <c r="K13" s="309" t="str">
        <f>MID('input data'!$C$19,10,1)</f>
        <v/>
      </c>
      <c r="N13" s="310" t="str">
        <f>'input data'!E4</f>
        <v>X</v>
      </c>
      <c r="O13" s="308" t="s">
        <v>1686</v>
      </c>
      <c r="Q13" s="308"/>
      <c r="R13" s="308"/>
      <c r="S13" s="308"/>
      <c r="T13" s="310">
        <f>'input data'!G4</f>
        <v>0</v>
      </c>
      <c r="U13" s="301" t="s">
        <v>1688</v>
      </c>
      <c r="W13" s="301"/>
      <c r="Y13" s="311" t="s">
        <v>1693</v>
      </c>
      <c r="AA13" s="311"/>
      <c r="AB13" s="311"/>
      <c r="AC13" s="311"/>
      <c r="AE13" s="312" t="s">
        <v>1690</v>
      </c>
      <c r="AF13" s="309" t="str">
        <f>MID('input data'!$C$5,1,1)</f>
        <v>0</v>
      </c>
      <c r="AG13" s="309" t="str">
        <f>MID('input data'!$C$5,2,1)</f>
        <v>1</v>
      </c>
      <c r="AH13" s="313"/>
      <c r="AI13" s="309" t="str">
        <f>MID('input data'!$C$6,1,1)</f>
        <v>2</v>
      </c>
      <c r="AJ13" s="309" t="str">
        <f>MID('input data'!$C$6,2,1)</f>
        <v>0</v>
      </c>
      <c r="AK13" s="309" t="str">
        <f>MID('input data'!$C$6,3,1)</f>
        <v>1</v>
      </c>
      <c r="AL13" s="309" t="str">
        <f>MID('input data'!$C$6,4,1)</f>
        <v>4</v>
      </c>
    </row>
    <row r="14" spans="2:38" s="297" customFormat="1" ht="5.25" customHeight="1">
      <c r="U14" s="314"/>
      <c r="Y14" s="311"/>
      <c r="Z14" s="311"/>
      <c r="AA14" s="311"/>
      <c r="AB14" s="311"/>
      <c r="AC14" s="311"/>
    </row>
    <row r="15" spans="2:38" s="297" customFormat="1" ht="12.75" customHeight="1">
      <c r="B15" s="608" t="s">
        <v>891</v>
      </c>
      <c r="C15" s="608"/>
      <c r="D15" s="608"/>
      <c r="N15" s="310">
        <f>'input data'!E5</f>
        <v>0</v>
      </c>
      <c r="O15" s="301" t="s">
        <v>1687</v>
      </c>
      <c r="Q15" s="315"/>
      <c r="R15" s="315"/>
      <c r="S15" s="315"/>
      <c r="T15" s="310">
        <f>'input data'!G5</f>
        <v>0</v>
      </c>
      <c r="U15" s="297" t="s">
        <v>1689</v>
      </c>
      <c r="Y15" s="311"/>
      <c r="Z15" s="311"/>
      <c r="AA15" s="311"/>
      <c r="AB15" s="311"/>
      <c r="AC15" s="311"/>
      <c r="AE15" s="312" t="s">
        <v>1691</v>
      </c>
      <c r="AF15" s="309" t="str">
        <f>MID('input data'!$C$10,1,1)</f>
        <v>1</v>
      </c>
      <c r="AG15" s="309" t="str">
        <f>MID('input data'!$C$10,2,1)</f>
        <v>2</v>
      </c>
      <c r="AH15" s="298"/>
      <c r="AI15" s="309" t="str">
        <f>MID('input data'!$C$6,1,1)</f>
        <v>2</v>
      </c>
      <c r="AJ15" s="309" t="str">
        <f>MID('input data'!$C$6,2,1)</f>
        <v>0</v>
      </c>
      <c r="AK15" s="309" t="str">
        <f>MID('input data'!$C$6,3,1)</f>
        <v>1</v>
      </c>
      <c r="AL15" s="309" t="str">
        <f>MID('input data'!$C$6,4,1)</f>
        <v>4</v>
      </c>
    </row>
    <row r="16" spans="2:38" s="297" customFormat="1" ht="12.75" customHeight="1">
      <c r="B16" s="309" t="str">
        <f>LEFT('input data'!$C$20,1)</f>
        <v>3</v>
      </c>
      <c r="C16" s="309" t="str">
        <f>MID('input data'!$C$20,2,1)</f>
        <v>7</v>
      </c>
      <c r="D16" s="309" t="str">
        <f>MID('input data'!$C$20,3,1)</f>
        <v>8</v>
      </c>
      <c r="E16" s="309" t="str">
        <f>MID('input data'!$C$20,4,1)</f>
        <v>8</v>
      </c>
      <c r="F16" s="309" t="str">
        <f>MID('input data'!$C$20,5,1)</f>
        <v>7</v>
      </c>
      <c r="G16" s="309" t="str">
        <f>MID('input data'!$C$20,6,1)</f>
        <v>3</v>
      </c>
      <c r="H16" s="309" t="str">
        <f>MID('input data'!$C$20,7,1)</f>
        <v>3</v>
      </c>
      <c r="I16" s="309" t="str">
        <f>MID('input data'!$C$20,8,1)</f>
        <v>5</v>
      </c>
      <c r="J16" s="316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317"/>
      <c r="Z16" s="317"/>
      <c r="AA16" s="317"/>
      <c r="AB16" s="317"/>
      <c r="AC16" s="317"/>
      <c r="AD16" s="298"/>
      <c r="AE16" s="298"/>
    </row>
    <row r="17" spans="2:38" s="297" customFormat="1" ht="3.75" customHeight="1">
      <c r="B17" s="318"/>
      <c r="C17" s="318"/>
      <c r="D17" s="318"/>
      <c r="E17" s="318"/>
      <c r="F17" s="318"/>
      <c r="G17" s="318"/>
      <c r="H17" s="318"/>
      <c r="I17" s="318"/>
      <c r="J17" s="316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311"/>
      <c r="Z17" s="311"/>
      <c r="AA17" s="311"/>
      <c r="AB17" s="311"/>
      <c r="AC17" s="311"/>
    </row>
    <row r="18" spans="2:38" s="297" customFormat="1" ht="12.75" customHeight="1">
      <c r="B18" s="613" t="s">
        <v>900</v>
      </c>
      <c r="C18" s="613"/>
      <c r="D18" s="613"/>
      <c r="E18" s="613"/>
      <c r="G18" s="626" t="s">
        <v>1692</v>
      </c>
      <c r="H18" s="626"/>
      <c r="I18" s="626"/>
      <c r="J18" s="626"/>
      <c r="K18" s="626"/>
      <c r="L18" s="318"/>
      <c r="M18" s="31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625" t="s">
        <v>1694</v>
      </c>
      <c r="Z18" s="625"/>
      <c r="AA18" s="625"/>
      <c r="AB18" s="625"/>
      <c r="AC18" s="625"/>
      <c r="AD18" s="625"/>
      <c r="AE18" s="312" t="s">
        <v>1690</v>
      </c>
      <c r="AF18" s="309" t="str">
        <f>MID('input data'!$C$14,1,1)</f>
        <v>0</v>
      </c>
      <c r="AG18" s="309" t="str">
        <f>MID('input data'!$C$14,2,1)</f>
        <v>1</v>
      </c>
      <c r="AH18" s="313"/>
      <c r="AI18" s="309" t="str">
        <f>MID('input data'!$C$15,1,1)</f>
        <v>2</v>
      </c>
      <c r="AJ18" s="309" t="str">
        <f>MID('input data'!$C$15,2,1)</f>
        <v>0</v>
      </c>
      <c r="AK18" s="309" t="str">
        <f>MID('input data'!$C$15,3,1)</f>
        <v>1</v>
      </c>
      <c r="AL18" s="309" t="str">
        <f>MID('input data'!$C$15,4,1)</f>
        <v>3</v>
      </c>
    </row>
    <row r="19" spans="2:38" s="297" customFormat="1" ht="5.25" customHeight="1">
      <c r="B19" s="614"/>
      <c r="C19" s="614"/>
      <c r="D19" s="614"/>
      <c r="E19" s="614"/>
      <c r="G19" s="626"/>
      <c r="H19" s="626"/>
      <c r="I19" s="626"/>
      <c r="J19" s="626"/>
      <c r="K19" s="626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625"/>
      <c r="Z19" s="625"/>
      <c r="AA19" s="625"/>
      <c r="AB19" s="625"/>
      <c r="AC19" s="625"/>
      <c r="AD19" s="625"/>
    </row>
    <row r="20" spans="2:38" s="297" customFormat="1" ht="12">
      <c r="B20" s="309" t="str">
        <f>LEFT('input data'!$C$21,1)</f>
        <v/>
      </c>
      <c r="C20" s="309" t="str">
        <f>MID('input data'!$C$21,2,1)</f>
        <v/>
      </c>
      <c r="D20" s="309" t="str">
        <f>MID('input data'!$C$21,3,1)</f>
        <v/>
      </c>
      <c r="E20" s="309" t="str">
        <f>MID('input data'!$C$21,4,1)</f>
        <v/>
      </c>
      <c r="G20" s="309" t="str">
        <f>LEFT('input data'!$C$22,1)</f>
        <v>8</v>
      </c>
      <c r="H20" s="309" t="str">
        <f>MID('input data'!$C$22,2,1)</f>
        <v>6</v>
      </c>
      <c r="I20" s="319" t="s">
        <v>901</v>
      </c>
      <c r="J20" s="309" t="str">
        <f>MID('input data'!$C$22,4,1)</f>
        <v>9</v>
      </c>
      <c r="K20" s="309" t="str">
        <f>MID('input data'!$C$22,5,1)</f>
        <v>0</v>
      </c>
      <c r="L20" s="319" t="s">
        <v>901</v>
      </c>
      <c r="M20" s="309" t="str">
        <f>MID('input data'!$C$22,7,1)</f>
        <v>0</v>
      </c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625"/>
      <c r="Z20" s="625"/>
      <c r="AA20" s="625"/>
      <c r="AB20" s="625"/>
      <c r="AC20" s="625"/>
      <c r="AD20" s="625"/>
      <c r="AE20" s="312" t="s">
        <v>1691</v>
      </c>
      <c r="AF20" s="309" t="str">
        <f>MID('input data'!$C$17,1,1)</f>
        <v>1</v>
      </c>
      <c r="AG20" s="309" t="str">
        <f>MID('input data'!$C$17,2,1)</f>
        <v>2</v>
      </c>
      <c r="AH20" s="298"/>
      <c r="AI20" s="309" t="str">
        <f>MID('input data'!$C$15,1,1)</f>
        <v>2</v>
      </c>
      <c r="AJ20" s="309" t="str">
        <f>MID('input data'!$C$15,2,1)</f>
        <v>0</v>
      </c>
      <c r="AK20" s="309" t="str">
        <f>MID('input data'!$C$15,3,1)</f>
        <v>1</v>
      </c>
      <c r="AL20" s="309" t="str">
        <f>MID('input data'!$C$15,4,1)</f>
        <v>3</v>
      </c>
    </row>
    <row r="21" spans="2:38" s="297" customFormat="1" ht="15" customHeight="1"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625"/>
      <c r="Z21" s="625"/>
      <c r="AA21" s="625"/>
      <c r="AB21" s="625"/>
      <c r="AC21" s="625"/>
      <c r="AD21" s="625"/>
    </row>
    <row r="22" spans="2:38" s="297" customFormat="1" ht="12.75" customHeight="1">
      <c r="B22" s="298" t="s">
        <v>1695</v>
      </c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320"/>
      <c r="Z22" s="320"/>
      <c r="AA22" s="320"/>
      <c r="AB22" s="320"/>
      <c r="AC22" s="320"/>
    </row>
    <row r="23" spans="2:38" s="297" customFormat="1" ht="4.5" customHeight="1"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320"/>
      <c r="Z23" s="320"/>
      <c r="AA23" s="320"/>
      <c r="AB23" s="320"/>
      <c r="AC23" s="320"/>
    </row>
    <row r="24" spans="2:38" s="297" customFormat="1" ht="12.75" customHeight="1">
      <c r="B24" s="298"/>
      <c r="C24" s="298"/>
      <c r="D24" s="298"/>
      <c r="E24" s="347" t="s">
        <v>768</v>
      </c>
      <c r="F24" s="298"/>
      <c r="G24" s="298" t="s">
        <v>1696</v>
      </c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347" t="s">
        <v>768</v>
      </c>
      <c r="U24" s="298"/>
      <c r="V24" s="298" t="s">
        <v>1698</v>
      </c>
      <c r="W24" s="298"/>
      <c r="X24" s="298"/>
      <c r="Y24" s="320"/>
      <c r="Z24" s="320"/>
      <c r="AA24" s="320"/>
      <c r="AB24" s="320"/>
      <c r="AC24" s="320"/>
    </row>
    <row r="25" spans="2:38" s="297" customFormat="1" ht="5.25" customHeight="1"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320"/>
      <c r="Z25" s="320"/>
      <c r="AA25" s="320"/>
      <c r="AB25" s="320"/>
      <c r="AC25" s="320"/>
    </row>
    <row r="26" spans="2:38" s="297" customFormat="1" ht="12.75" customHeight="1">
      <c r="B26" s="298"/>
      <c r="C26" s="298"/>
      <c r="D26" s="298"/>
      <c r="E26" s="347" t="s">
        <v>768</v>
      </c>
      <c r="F26" s="298"/>
      <c r="G26" s="298" t="s">
        <v>1697</v>
      </c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320"/>
      <c r="Z26" s="320"/>
      <c r="AA26" s="320"/>
      <c r="AB26" s="320"/>
      <c r="AC26" s="320"/>
    </row>
    <row r="27" spans="2:38" s="297" customFormat="1" ht="14.25" customHeight="1"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320"/>
      <c r="Z27" s="320"/>
      <c r="AA27" s="320"/>
      <c r="AB27" s="320"/>
      <c r="AC27" s="320"/>
    </row>
    <row r="28" spans="2:38" s="297" customFormat="1" ht="15.75" customHeight="1">
      <c r="B28" s="609" t="s">
        <v>1681</v>
      </c>
      <c r="C28" s="609"/>
      <c r="D28" s="609"/>
      <c r="E28" s="609"/>
      <c r="F28" s="609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</row>
    <row r="29" spans="2:38" s="297" customFormat="1" ht="12.75" customHeight="1">
      <c r="B29" s="309" t="str">
        <f>MID('input data'!$C$2,1,1)</f>
        <v>N</v>
      </c>
      <c r="C29" s="309" t="str">
        <f>MID('input data'!$C$2,2,1)</f>
        <v>e</v>
      </c>
      <c r="D29" s="309" t="str">
        <f>MID('input data'!$C$2,3,1)</f>
        <v>m</v>
      </c>
      <c r="E29" s="309" t="str">
        <f>MID('input data'!$C$2,4,1)</f>
        <v>o</v>
      </c>
      <c r="F29" s="309" t="str">
        <f>MID('input data'!$C$2,5,1)</f>
        <v>c</v>
      </c>
      <c r="G29" s="309" t="str">
        <f>MID('input data'!$C$2,6,1)</f>
        <v>n</v>
      </c>
      <c r="H29" s="309" t="str">
        <f>MID('input data'!$C$2,7,1)</f>
        <v>i</v>
      </c>
      <c r="I29" s="309" t="str">
        <f>MID('input data'!$C$2,8,1)</f>
        <v>c</v>
      </c>
      <c r="J29" s="309" t="str">
        <f>MID('input data'!$C$2,9,1)</f>
        <v>a</v>
      </c>
      <c r="K29" s="309" t="str">
        <f>MID('input data'!$C$2,10,1)</f>
        <v xml:space="preserve"> </v>
      </c>
      <c r="L29" s="309" t="str">
        <f>MID('input data'!$C$2,11,1)</f>
        <v>A</v>
      </c>
      <c r="M29" s="309" t="str">
        <f>MID('input data'!$C$2,12,1)</f>
        <v>.</v>
      </c>
      <c r="N29" s="309" t="str">
        <f>MID('input data'!$C$2,13,1)</f>
        <v xml:space="preserve"> </v>
      </c>
      <c r="O29" s="309" t="str">
        <f>MID('input data'!$C$2,14,1)</f>
        <v>L</v>
      </c>
      <c r="P29" s="309" t="str">
        <f>MID('input data'!$C$2,15,1)</f>
        <v>e</v>
      </c>
      <c r="Q29" s="309" t="str">
        <f>MID('input data'!$C$2,16,1)</f>
        <v>ň</v>
      </c>
      <c r="R29" s="309" t="str">
        <f>MID('input data'!$C$2,17,1)</f>
        <v>a</v>
      </c>
      <c r="S29" s="309" t="str">
        <f>MID('input data'!$C$2,18,1)</f>
        <v xml:space="preserve"> </v>
      </c>
      <c r="T29" s="309" t="str">
        <f>MID('input data'!$C$2,19,1)</f>
        <v>H</v>
      </c>
      <c r="U29" s="309" t="str">
        <f>MID('input data'!$C$2,20,1)</f>
        <v>u</v>
      </c>
      <c r="V29" s="309" t="str">
        <f>MID('input data'!$C$2,21,1)</f>
        <v>m</v>
      </c>
      <c r="W29" s="309" t="str">
        <f>MID('input data'!$C$2,22,1)</f>
        <v>e</v>
      </c>
      <c r="X29" s="309" t="str">
        <f>MID('input data'!$C$2,23,1)</f>
        <v>n</v>
      </c>
      <c r="Y29" s="309" t="str">
        <f>MID('input data'!$C$2,24,1)</f>
        <v>n</v>
      </c>
      <c r="Z29" s="309" t="str">
        <f>MID('input data'!$C$2,25,1)</f>
        <v>é</v>
      </c>
      <c r="AA29" s="309" t="str">
        <f>MID('input data'!$C$2,26,1)</f>
        <v>,</v>
      </c>
      <c r="AB29" s="309" t="str">
        <f>MID('input data'!$C$2,27,1)</f>
        <v xml:space="preserve"> </v>
      </c>
      <c r="AC29" s="309" t="str">
        <f>MID('input data'!$C$2,28,1)</f>
        <v>n</v>
      </c>
      <c r="AD29" s="309" t="str">
        <f>MID('input data'!$C$2,29,1)</f>
        <v>.</v>
      </c>
      <c r="AE29" s="309" t="str">
        <f>MID('input data'!$C$2,30,1)</f>
        <v>o</v>
      </c>
      <c r="AF29" s="309" t="str">
        <f>MID('input data'!$C$2,31,1)</f>
        <v>.</v>
      </c>
      <c r="AG29" s="309" t="str">
        <f>MID('input data'!$C$2,32,1)</f>
        <v/>
      </c>
      <c r="AH29" s="309" t="str">
        <f>MID('input data'!$C$2,33,1)</f>
        <v/>
      </c>
      <c r="AI29" s="309" t="str">
        <f>MID('input data'!$C$2,34,1)</f>
        <v/>
      </c>
      <c r="AJ29" s="309" t="str">
        <f>MID('input data'!$C$2,35,1)</f>
        <v/>
      </c>
      <c r="AK29" s="309" t="str">
        <f>MID('input data'!$C$2,36,1)</f>
        <v/>
      </c>
      <c r="AL29" s="309" t="str">
        <f>MID('input data'!$C$2,37,1)</f>
        <v/>
      </c>
    </row>
    <row r="30" spans="2:38" s="297" customFormat="1" ht="12.75" customHeight="1">
      <c r="B30" s="309" t="str">
        <f>MID('input data'!$C$2,38,1)</f>
        <v/>
      </c>
      <c r="C30" s="309" t="str">
        <f>MID('input data'!$C$2,39,1)</f>
        <v/>
      </c>
      <c r="D30" s="309" t="str">
        <f>MID('input data'!$C$2,40,1)</f>
        <v/>
      </c>
      <c r="E30" s="309" t="str">
        <f>MID('input data'!$C$2,41,1)</f>
        <v/>
      </c>
      <c r="F30" s="309" t="str">
        <f>MID('input data'!$C$2,42,1)</f>
        <v/>
      </c>
      <c r="G30" s="309" t="str">
        <f>MID('input data'!$C$2,43,1)</f>
        <v/>
      </c>
      <c r="H30" s="309" t="str">
        <f>MID('input data'!$C$2,44,1)</f>
        <v/>
      </c>
      <c r="I30" s="309" t="str">
        <f>MID('input data'!$C$2,45,1)</f>
        <v/>
      </c>
      <c r="J30" s="309" t="str">
        <f>MID('input data'!$C$2,46,1)</f>
        <v/>
      </c>
      <c r="K30" s="309" t="str">
        <f>MID('input data'!$C$2,47,1)</f>
        <v/>
      </c>
      <c r="L30" s="309" t="str">
        <f>MID('input data'!$C$2,48,1)</f>
        <v/>
      </c>
      <c r="M30" s="309" t="str">
        <f>MID('input data'!$C$2,49,1)</f>
        <v/>
      </c>
      <c r="N30" s="309" t="str">
        <f>MID('input data'!$C$2,50,1)</f>
        <v/>
      </c>
      <c r="O30" s="309" t="str">
        <f>MID('input data'!$C$2,51,1)</f>
        <v/>
      </c>
      <c r="P30" s="309" t="str">
        <f>MID('input data'!$C$2,52,1)</f>
        <v/>
      </c>
      <c r="Q30" s="309" t="str">
        <f>MID('input data'!$C$2,53,1)</f>
        <v/>
      </c>
      <c r="R30" s="309" t="str">
        <f>MID('input data'!$C$2,54,1)</f>
        <v/>
      </c>
      <c r="S30" s="309" t="str">
        <f>MID('input data'!$C$2,55,1)</f>
        <v/>
      </c>
      <c r="T30" s="309" t="str">
        <f>MID('input data'!$C$2,56,1)</f>
        <v/>
      </c>
      <c r="U30" s="309" t="str">
        <f>MID('input data'!$C$2,57,1)</f>
        <v/>
      </c>
      <c r="V30" s="309" t="str">
        <f>MID('input data'!$C$2,58,1)</f>
        <v/>
      </c>
      <c r="W30" s="309" t="str">
        <f>MID('input data'!$C$2,59,1)</f>
        <v/>
      </c>
      <c r="X30" s="309" t="str">
        <f>MID('input data'!$C$2,60,1)</f>
        <v/>
      </c>
      <c r="Y30" s="309" t="str">
        <f>MID('input data'!$C$2,61,1)</f>
        <v/>
      </c>
      <c r="Z30" s="309" t="str">
        <f>MID('input data'!$C$2,62,1)</f>
        <v/>
      </c>
      <c r="AA30" s="309" t="str">
        <f>MID('input data'!$C$2,63,1)</f>
        <v/>
      </c>
      <c r="AB30" s="309" t="str">
        <f>MID('input data'!$C$2,64,1)</f>
        <v/>
      </c>
      <c r="AC30" s="309" t="str">
        <f>MID('input data'!$C$2,65,1)</f>
        <v/>
      </c>
      <c r="AD30" s="309" t="str">
        <f>MID('input data'!$C$2,66,1)</f>
        <v/>
      </c>
      <c r="AE30" s="309" t="str">
        <f>MID('input data'!$C$2,67,1)</f>
        <v/>
      </c>
      <c r="AF30" s="309" t="str">
        <f>MID('input data'!$C$2,68,1)</f>
        <v/>
      </c>
      <c r="AG30" s="309" t="str">
        <f>MID('input data'!$C$2,69,1)</f>
        <v/>
      </c>
      <c r="AH30" s="309" t="str">
        <f>MID('input data'!$C$2,70,1)</f>
        <v/>
      </c>
      <c r="AI30" s="309" t="str">
        <f>MID('input data'!$C$2,71,1)</f>
        <v/>
      </c>
      <c r="AJ30" s="309" t="str">
        <f>MID('input data'!$C$2,72,1)</f>
        <v/>
      </c>
      <c r="AK30" s="309" t="str">
        <f>MID('input data'!$C$2,73,1)</f>
        <v/>
      </c>
      <c r="AL30" s="309" t="str">
        <f>MID('input data'!$C$2,74,1)</f>
        <v/>
      </c>
    </row>
    <row r="31" spans="2:38" s="297" customFormat="1" ht="12.75" customHeight="1"/>
    <row r="32" spans="2:38" s="297" customFormat="1" ht="12.75" customHeight="1">
      <c r="B32" s="610" t="s">
        <v>892</v>
      </c>
      <c r="C32" s="610"/>
      <c r="D32" s="610"/>
      <c r="E32" s="610"/>
      <c r="F32" s="610"/>
      <c r="G32" s="610"/>
      <c r="H32" s="610"/>
      <c r="I32" s="610"/>
      <c r="J32" s="610"/>
    </row>
    <row r="33" spans="2:38" s="297" customFormat="1" ht="12.75" customHeight="1">
      <c r="B33" s="611" t="s">
        <v>1683</v>
      </c>
      <c r="C33" s="611"/>
      <c r="D33" s="611"/>
      <c r="E33" s="611"/>
      <c r="F33" s="611"/>
      <c r="G33" s="611"/>
      <c r="H33" s="611"/>
      <c r="AE33" s="297" t="s">
        <v>1684</v>
      </c>
    </row>
    <row r="34" spans="2:38" s="297" customFormat="1" ht="12.75" customHeight="1">
      <c r="B34" s="309" t="str">
        <f>MID('input data'!$C$23,1,1)</f>
        <v>N</v>
      </c>
      <c r="C34" s="309" t="str">
        <f>MID('input data'!$C$23,2,1)</f>
        <v>e</v>
      </c>
      <c r="D34" s="309" t="str">
        <f>MID('input data'!$C$23,3,1)</f>
        <v>m</v>
      </c>
      <c r="E34" s="309" t="str">
        <f>MID('input data'!$C$23,4,1)</f>
        <v>o</v>
      </c>
      <c r="F34" s="309" t="str">
        <f>MID('input data'!$C$23,5,1)</f>
        <v>c</v>
      </c>
      <c r="G34" s="309" t="str">
        <f>MID('input data'!$C$23,6,1)</f>
        <v>n</v>
      </c>
      <c r="H34" s="309" t="str">
        <f>MID('input data'!$C$23,7,1)</f>
        <v>i</v>
      </c>
      <c r="I34" s="309" t="str">
        <f>MID('input data'!$C$23,8,1)</f>
        <v>č</v>
      </c>
      <c r="J34" s="309" t="str">
        <f>MID('input data'!$C$23,9,1)</f>
        <v>n</v>
      </c>
      <c r="K34" s="309" t="str">
        <f>MID('input data'!$C$23,10,1)</f>
        <v>á</v>
      </c>
      <c r="L34" s="309" t="str">
        <f>MID('input data'!$C$23,11,1)</f>
        <v/>
      </c>
      <c r="M34" s="309" t="str">
        <f>MID('input data'!$C$23,12,1)</f>
        <v/>
      </c>
      <c r="N34" s="309" t="str">
        <f>MID('input data'!$C$23,13,1)</f>
        <v/>
      </c>
      <c r="O34" s="309" t="str">
        <f>MID('input data'!$C$23,14,1)</f>
        <v/>
      </c>
      <c r="P34" s="309" t="str">
        <f>MID('input data'!$C$23,15,1)</f>
        <v/>
      </c>
      <c r="Q34" s="309" t="str">
        <f>MID('input data'!$C$23,16,1)</f>
        <v/>
      </c>
      <c r="R34" s="309" t="str">
        <f>MID('input data'!$C$23,17,1)</f>
        <v/>
      </c>
      <c r="S34" s="309" t="str">
        <f>MID('input data'!$C$23,18,1)</f>
        <v/>
      </c>
      <c r="T34" s="309" t="str">
        <f>MID('input data'!$C$23,19,1)</f>
        <v/>
      </c>
      <c r="U34" s="309" t="str">
        <f>MID('input data'!$C$23,20,1)</f>
        <v/>
      </c>
      <c r="V34" s="309" t="str">
        <f>MID('input data'!$C$23,21,1)</f>
        <v/>
      </c>
      <c r="W34" s="309" t="str">
        <f>MID('input data'!$C$23,22,1)</f>
        <v/>
      </c>
      <c r="X34" s="309" t="str">
        <f>MID('input data'!$C$23,23,1)</f>
        <v/>
      </c>
      <c r="Y34" s="309" t="str">
        <f>MID('input data'!$C$23,24,1)</f>
        <v/>
      </c>
      <c r="Z34" s="309" t="str">
        <f>MID('input data'!$C$23,25,1)</f>
        <v/>
      </c>
      <c r="AA34" s="309" t="str">
        <f>MID('input data'!$C$23,26,1)</f>
        <v/>
      </c>
      <c r="AB34" s="309" t="str">
        <f>MID('input data'!$C$23,27,1)</f>
        <v/>
      </c>
      <c r="AC34" s="309" t="str">
        <f>MID('input data'!$C$23,28,1)</f>
        <v/>
      </c>
      <c r="AE34" s="309" t="str">
        <f>MID('input data'!$C$24,1,1)</f>
        <v>7</v>
      </c>
      <c r="AF34" s="309" t="str">
        <f>MID('input data'!$C$24,2,1)</f>
        <v/>
      </c>
      <c r="AG34" s="309" t="str">
        <f>MID('input data'!$C$24,3,1)</f>
        <v/>
      </c>
      <c r="AH34" s="309" t="str">
        <f>MID('input data'!$C$24,4,1)</f>
        <v/>
      </c>
      <c r="AI34" s="309" t="str">
        <f>MID('input data'!$C$24,5,1)</f>
        <v/>
      </c>
      <c r="AJ34" s="309" t="str">
        <f>MID('input data'!$C$24,6,1)</f>
        <v/>
      </c>
      <c r="AK34" s="309" t="str">
        <f>MID('input data'!$C$24,7,1)</f>
        <v/>
      </c>
      <c r="AL34" s="309" t="str">
        <f>MID('input data'!$C$24,8,1)</f>
        <v/>
      </c>
    </row>
    <row r="35" spans="2:38" s="297" customFormat="1" ht="6.75" customHeight="1"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</row>
    <row r="36" spans="2:38" s="297" customFormat="1" ht="12.75" customHeight="1">
      <c r="B36" s="606" t="s">
        <v>425</v>
      </c>
      <c r="C36" s="606"/>
      <c r="D36" s="606"/>
      <c r="E36" s="606"/>
      <c r="F36" s="298"/>
      <c r="G36" s="298"/>
      <c r="H36" s="298"/>
      <c r="I36" s="606" t="s">
        <v>1685</v>
      </c>
      <c r="J36" s="606"/>
      <c r="K36" s="606"/>
      <c r="L36" s="606"/>
      <c r="M36" s="606"/>
      <c r="N36" s="606"/>
      <c r="O36" s="606"/>
      <c r="P36" s="606"/>
      <c r="Q36" s="606"/>
      <c r="R36" s="606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</row>
    <row r="37" spans="2:38" s="297" customFormat="1" ht="12.75" customHeight="1">
      <c r="B37" s="309" t="str">
        <f>MID('input data'!$C$25,1,1)</f>
        <v>0</v>
      </c>
      <c r="C37" s="309" t="str">
        <f>MID('input data'!$C$25,2,1)</f>
        <v>6</v>
      </c>
      <c r="D37" s="309" t="str">
        <f>MID('input data'!$C$25,3,1)</f>
        <v>6</v>
      </c>
      <c r="E37" s="309" t="str">
        <f>MID('input data'!$C$25,4,1)</f>
        <v>0</v>
      </c>
      <c r="F37" s="309" t="str">
        <f>MID('input data'!$C$25,5,1)</f>
        <v>1</v>
      </c>
      <c r="G37" s="298"/>
      <c r="H37" s="298"/>
      <c r="I37" s="309" t="str">
        <f>MID('input data'!$C$26,1,1)</f>
        <v>H</v>
      </c>
      <c r="J37" s="309" t="str">
        <f>MID('input data'!$C$26,2,1)</f>
        <v>u</v>
      </c>
      <c r="K37" s="309" t="str">
        <f>MID('input data'!$C$26,3,1)</f>
        <v>m</v>
      </c>
      <c r="L37" s="309" t="str">
        <f>MID('input data'!$C$26,4,1)</f>
        <v>e</v>
      </c>
      <c r="M37" s="309" t="str">
        <f>MID('input data'!$C$26,5,1)</f>
        <v>n</v>
      </c>
      <c r="N37" s="309" t="str">
        <f>MID('input data'!$C$26,6,1)</f>
        <v>n</v>
      </c>
      <c r="O37" s="309" t="str">
        <f>MID('input data'!$C$26,7,1)</f>
        <v>é</v>
      </c>
      <c r="P37" s="309" t="str">
        <f>MID('input data'!$C$26,8,1)</f>
        <v/>
      </c>
      <c r="Q37" s="309" t="str">
        <f>MID('input data'!$C$26,9,1)</f>
        <v/>
      </c>
      <c r="R37" s="309" t="str">
        <f>MID('input data'!$C$26,10,1)</f>
        <v/>
      </c>
      <c r="S37" s="309" t="str">
        <f>MID('input data'!$C$26,11,1)</f>
        <v/>
      </c>
      <c r="T37" s="309" t="str">
        <f>MID('input data'!$C$26,12,1)</f>
        <v/>
      </c>
      <c r="U37" s="309" t="str">
        <f>MID('input data'!$C$26,13,1)</f>
        <v/>
      </c>
      <c r="V37" s="309" t="str">
        <f>MID('input data'!$C$26,14,1)</f>
        <v/>
      </c>
      <c r="W37" s="309" t="str">
        <f>MID('input data'!$C$26,15,1)</f>
        <v/>
      </c>
      <c r="X37" s="309" t="str">
        <f>MID('input data'!$C$26,16,1)</f>
        <v/>
      </c>
      <c r="Y37" s="309" t="str">
        <f>MID('input data'!$C$26,17,1)</f>
        <v/>
      </c>
      <c r="Z37" s="309" t="str">
        <f>MID('input data'!$C$26,18,1)</f>
        <v/>
      </c>
      <c r="AA37" s="309" t="str">
        <f>MID('input data'!$C$26,19,1)</f>
        <v/>
      </c>
      <c r="AB37" s="309" t="str">
        <f>MID('input data'!$C$26,20,1)</f>
        <v/>
      </c>
      <c r="AC37" s="309" t="str">
        <f>MID('input data'!$C$26,21,1)</f>
        <v/>
      </c>
      <c r="AD37" s="309" t="str">
        <f>MID('input data'!$C$26,22,1)</f>
        <v/>
      </c>
      <c r="AE37" s="309" t="str">
        <f>MID('input data'!$C$26,23,1)</f>
        <v/>
      </c>
      <c r="AF37" s="309" t="str">
        <f>MID('input data'!$C$26,24,1)</f>
        <v/>
      </c>
      <c r="AG37" s="309" t="str">
        <f>MID('input data'!$C$26,25,1)</f>
        <v/>
      </c>
      <c r="AH37" s="309" t="str">
        <f>MID('input data'!$C$26,26,1)</f>
        <v/>
      </c>
      <c r="AI37" s="309" t="str">
        <f>MID('input data'!$C$26,27,1)</f>
        <v/>
      </c>
      <c r="AJ37" s="309" t="str">
        <f>MID('input data'!$C$26,28,1)</f>
        <v/>
      </c>
      <c r="AK37" s="309" t="str">
        <f>MID('input data'!$C$26,29,1)</f>
        <v/>
      </c>
      <c r="AL37" s="309" t="str">
        <f>MID('input data'!$C$26,30,1)</f>
        <v/>
      </c>
    </row>
    <row r="38" spans="2:38" s="297" customFormat="1" ht="12.75" customHeight="1"/>
    <row r="39" spans="2:38" s="297" customFormat="1" ht="12.75" customHeight="1">
      <c r="B39" s="609" t="s">
        <v>426</v>
      </c>
      <c r="C39" s="609"/>
      <c r="D39" s="609"/>
      <c r="E39" s="609"/>
      <c r="F39" s="609"/>
      <c r="G39" s="609"/>
      <c r="H39" s="609"/>
      <c r="I39" s="609"/>
      <c r="K39" s="322"/>
      <c r="L39" s="322"/>
      <c r="M39" s="322"/>
      <c r="N39" s="322"/>
      <c r="O39" s="322"/>
      <c r="P39" s="308" t="s">
        <v>893</v>
      </c>
      <c r="Q39" s="322"/>
      <c r="R39" s="322"/>
      <c r="S39" s="322"/>
      <c r="T39" s="322"/>
      <c r="W39" s="308"/>
      <c r="X39" s="308"/>
      <c r="Y39" s="308"/>
      <c r="Z39" s="308"/>
      <c r="AA39" s="308"/>
      <c r="AB39" s="308"/>
      <c r="AC39" s="308"/>
      <c r="AD39" s="308"/>
      <c r="AE39" s="308"/>
    </row>
    <row r="40" spans="2:38" s="297" customFormat="1" ht="12.75" customHeight="1">
      <c r="B40" s="323">
        <v>0</v>
      </c>
      <c r="C40" s="309" t="str">
        <f>MID('input data'!$C$27,2,1)</f>
        <v/>
      </c>
      <c r="D40" s="309" t="str">
        <f>MID('input data'!$C$27,3,1)</f>
        <v/>
      </c>
      <c r="E40" s="309" t="str">
        <f>MID('input data'!$C$27,4,1)</f>
        <v/>
      </c>
      <c r="F40" s="324" t="s">
        <v>899</v>
      </c>
      <c r="G40" s="309" t="str">
        <f>MID('input data'!$C$27,5,1)</f>
        <v/>
      </c>
      <c r="H40" s="309" t="str">
        <f>MID('input data'!$C$27,6,1)</f>
        <v/>
      </c>
      <c r="I40" s="309" t="str">
        <f>MID('input data'!$C$27,7,1)</f>
        <v/>
      </c>
      <c r="J40" s="309" t="str">
        <f>MID('input data'!$C$27,8,1)</f>
        <v/>
      </c>
      <c r="K40" s="309" t="str">
        <f>MID('input data'!$C$27,9,1)</f>
        <v/>
      </c>
      <c r="L40" s="309" t="str">
        <f>MID('input data'!$C$27,10,1)</f>
        <v/>
      </c>
      <c r="M40" s="309" t="str">
        <f>MID('input data'!$C$27,11,1)</f>
        <v/>
      </c>
      <c r="N40" s="309" t="str">
        <f>MID('input data'!$C$27,12,1)</f>
        <v/>
      </c>
      <c r="O40" s="318" t="str">
        <f>MID('input data'!$C$28,5,1)</f>
        <v/>
      </c>
      <c r="P40" s="323">
        <v>0</v>
      </c>
      <c r="Q40" s="309" t="str">
        <f>MID('input data'!$C$29,2,1)</f>
        <v/>
      </c>
      <c r="R40" s="309" t="str">
        <f>MID('input data'!$C$29,3,1)</f>
        <v/>
      </c>
      <c r="S40" s="309" t="str">
        <f>MID('input data'!$C$29,4,1)</f>
        <v/>
      </c>
      <c r="T40" s="324" t="s">
        <v>899</v>
      </c>
      <c r="U40" s="309" t="str">
        <f>MID('input data'!$C$29,5,1)</f>
        <v/>
      </c>
      <c r="V40" s="309" t="str">
        <f>MID('input data'!$C$29,6,1)</f>
        <v/>
      </c>
      <c r="W40" s="309" t="str">
        <f>MID('input data'!$C$29,7,1)</f>
        <v/>
      </c>
      <c r="X40" s="309" t="str">
        <f>MID('input data'!$C$29,8,1)</f>
        <v/>
      </c>
      <c r="Y40" s="321"/>
      <c r="Z40" s="321"/>
      <c r="AA40" s="321"/>
      <c r="AB40" s="321"/>
    </row>
    <row r="41" spans="2:38" s="297" customFormat="1" ht="12.75" customHeight="1">
      <c r="B41" s="298"/>
      <c r="C41" s="298"/>
      <c r="D41" s="298"/>
      <c r="E41" s="298"/>
      <c r="F41" s="298"/>
      <c r="G41" s="298"/>
      <c r="H41" s="298"/>
      <c r="K41" s="298"/>
      <c r="L41" s="298"/>
      <c r="M41" s="298"/>
      <c r="N41" s="298"/>
      <c r="O41" s="298"/>
      <c r="P41" s="298"/>
      <c r="Q41" s="298"/>
      <c r="R41" s="298"/>
      <c r="Y41" s="298"/>
      <c r="Z41" s="298"/>
      <c r="AA41" s="298"/>
      <c r="AB41" s="298"/>
      <c r="AC41" s="298"/>
    </row>
    <row r="42" spans="2:38" s="297" customFormat="1" ht="12.75" customHeight="1">
      <c r="B42" s="607" t="s">
        <v>1700</v>
      </c>
      <c r="C42" s="607"/>
      <c r="D42" s="607"/>
      <c r="E42" s="607"/>
      <c r="F42" s="607"/>
      <c r="G42" s="607"/>
      <c r="H42" s="298"/>
      <c r="K42" s="298"/>
      <c r="L42" s="298"/>
      <c r="M42" s="298"/>
      <c r="N42" s="298"/>
      <c r="O42" s="298"/>
      <c r="P42" s="298"/>
      <c r="Q42" s="298"/>
      <c r="R42" s="298"/>
      <c r="V42" s="298"/>
      <c r="W42" s="298"/>
      <c r="X42" s="298"/>
      <c r="Y42" s="298"/>
      <c r="Z42" s="298"/>
      <c r="AA42" s="298"/>
      <c r="AB42" s="298"/>
      <c r="AC42" s="298"/>
    </row>
    <row r="43" spans="2:38" s="297" customFormat="1" ht="12.75" customHeight="1">
      <c r="B43" s="309" t="str">
        <f>MID('input data'!$C$30,1,1)</f>
        <v/>
      </c>
      <c r="C43" s="309" t="str">
        <f>MID('input data'!$C$30,2,1)</f>
        <v/>
      </c>
      <c r="D43" s="309" t="str">
        <f>MID('input data'!$C$30,3,1)</f>
        <v/>
      </c>
      <c r="E43" s="309" t="str">
        <f>MID('input data'!$C$30,4,1)</f>
        <v/>
      </c>
      <c r="F43" s="309" t="str">
        <f>MID('input data'!$C$30,5,1)</f>
        <v/>
      </c>
      <c r="G43" s="309" t="str">
        <f>MID('input data'!$C$30,6,1)</f>
        <v/>
      </c>
      <c r="H43" s="309" t="str">
        <f>MID('input data'!$C$30,7,1)</f>
        <v/>
      </c>
      <c r="I43" s="309" t="str">
        <f>MID('input data'!$C$30,8,1)</f>
        <v/>
      </c>
      <c r="J43" s="309" t="str">
        <f>MID('input data'!$C$30,9,1)</f>
        <v/>
      </c>
      <c r="K43" s="309" t="str">
        <f>MID('input data'!$C$30,10,1)</f>
        <v/>
      </c>
      <c r="L43" s="309" t="str">
        <f>MID('input data'!$C$30,11,1)</f>
        <v/>
      </c>
      <c r="M43" s="309" t="str">
        <f>MID('input data'!$C$30,12,1)</f>
        <v/>
      </c>
      <c r="N43" s="309" t="str">
        <f>MID('input data'!$C$30,13,1)</f>
        <v/>
      </c>
      <c r="O43" s="309" t="str">
        <f>MID('input data'!$C$30,14,1)</f>
        <v/>
      </c>
      <c r="P43" s="309" t="str">
        <f>MID('input data'!$C$30,15,1)</f>
        <v/>
      </c>
      <c r="Q43" s="309" t="str">
        <f>MID('input data'!$C$30,16,1)</f>
        <v/>
      </c>
      <c r="R43" s="309" t="str">
        <f>MID('input data'!$C$30,17,1)</f>
        <v/>
      </c>
      <c r="S43" s="309" t="str">
        <f>MID('input data'!$C$30,18,1)</f>
        <v/>
      </c>
      <c r="T43" s="309" t="str">
        <f>MID('input data'!$C$30,19,1)</f>
        <v/>
      </c>
      <c r="U43" s="309" t="str">
        <f>MID('input data'!$C$30,20,1)</f>
        <v/>
      </c>
      <c r="V43" s="309" t="str">
        <f>MID('input data'!$C$30,21,1)</f>
        <v/>
      </c>
      <c r="W43" s="309" t="str">
        <f>MID('input data'!$C$30,22,1)</f>
        <v/>
      </c>
      <c r="X43" s="309" t="str">
        <f>MID('input data'!$C$30,23,1)</f>
        <v/>
      </c>
      <c r="Y43" s="309" t="str">
        <f>MID('input data'!$C$30,24,1)</f>
        <v/>
      </c>
      <c r="Z43" s="309" t="str">
        <f>MID('input data'!$C$30,25,1)</f>
        <v/>
      </c>
      <c r="AA43" s="309" t="str">
        <f>MID('input data'!$C$30,26,1)</f>
        <v/>
      </c>
      <c r="AB43" s="309" t="str">
        <f>MID('input data'!$C$30,27,1)</f>
        <v/>
      </c>
      <c r="AC43" s="309" t="str">
        <f>MID('input data'!$C$30,28,1)</f>
        <v/>
      </c>
      <c r="AD43" s="309" t="str">
        <f>MID('input data'!$C$30,29,1)</f>
        <v/>
      </c>
      <c r="AE43" s="309" t="str">
        <f>MID('input data'!$C$30,30,1)</f>
        <v/>
      </c>
      <c r="AF43" s="309" t="str">
        <f>MID('input data'!$C$30,31,1)</f>
        <v/>
      </c>
      <c r="AG43" s="309" t="str">
        <f>MID('input data'!$C$30,32,1)</f>
        <v/>
      </c>
      <c r="AH43" s="309" t="str">
        <f>MID('input data'!$C$30,33,1)</f>
        <v/>
      </c>
      <c r="AI43" s="309" t="str">
        <f>MID('input data'!$C$30,34,1)</f>
        <v/>
      </c>
      <c r="AJ43" s="309" t="str">
        <f>MID('input data'!$C$30,35,1)</f>
        <v/>
      </c>
      <c r="AK43" s="309" t="str">
        <f>MID('input data'!$C$30,36,1)</f>
        <v/>
      </c>
      <c r="AL43" s="309" t="str">
        <f>MID('input data'!$C$30,37,1)</f>
        <v/>
      </c>
    </row>
    <row r="44" spans="2:38" s="297" customFormat="1" ht="12.75" customHeight="1"/>
    <row r="45" spans="2:38" s="297" customFormat="1" ht="12.75" customHeight="1">
      <c r="B45" s="325" t="s">
        <v>897</v>
      </c>
      <c r="C45" s="326"/>
      <c r="D45" s="326"/>
      <c r="E45" s="326"/>
      <c r="F45" s="326"/>
      <c r="G45" s="326"/>
      <c r="H45" s="326"/>
      <c r="I45" s="327"/>
      <c r="J45" s="327"/>
      <c r="K45" s="328"/>
      <c r="L45" s="616" t="s">
        <v>894</v>
      </c>
      <c r="M45" s="617"/>
      <c r="N45" s="617"/>
      <c r="O45" s="617"/>
      <c r="P45" s="617"/>
      <c r="Q45" s="617"/>
      <c r="R45" s="617"/>
      <c r="S45" s="617"/>
      <c r="T45" s="618"/>
      <c r="U45" s="616" t="s">
        <v>895</v>
      </c>
      <c r="V45" s="617"/>
      <c r="W45" s="617"/>
      <c r="X45" s="617"/>
      <c r="Y45" s="617"/>
      <c r="Z45" s="617"/>
      <c r="AA45" s="617"/>
      <c r="AB45" s="617"/>
      <c r="AC45" s="618"/>
      <c r="AD45" s="616" t="s">
        <v>896</v>
      </c>
      <c r="AE45" s="617"/>
      <c r="AF45" s="617"/>
      <c r="AG45" s="617"/>
      <c r="AH45" s="617"/>
      <c r="AI45" s="617"/>
      <c r="AJ45" s="617"/>
      <c r="AK45" s="617"/>
      <c r="AL45" s="618"/>
    </row>
    <row r="46" spans="2:38" s="297" customFormat="1" ht="12.75" customHeight="1">
      <c r="B46" s="329"/>
      <c r="C46" s="330"/>
      <c r="D46" s="330"/>
      <c r="E46" s="330"/>
      <c r="F46" s="330"/>
      <c r="G46" s="330"/>
      <c r="H46" s="330"/>
      <c r="K46" s="331"/>
      <c r="L46" s="619"/>
      <c r="M46" s="620"/>
      <c r="N46" s="620"/>
      <c r="O46" s="620"/>
      <c r="P46" s="620"/>
      <c r="Q46" s="620"/>
      <c r="R46" s="620"/>
      <c r="S46" s="620"/>
      <c r="T46" s="621"/>
      <c r="U46" s="619"/>
      <c r="V46" s="620"/>
      <c r="W46" s="620"/>
      <c r="X46" s="620"/>
      <c r="Y46" s="620"/>
      <c r="Z46" s="620"/>
      <c r="AA46" s="620"/>
      <c r="AB46" s="620"/>
      <c r="AC46" s="621"/>
      <c r="AD46" s="619"/>
      <c r="AE46" s="620"/>
      <c r="AF46" s="620"/>
      <c r="AG46" s="620"/>
      <c r="AH46" s="620"/>
      <c r="AI46" s="620"/>
      <c r="AJ46" s="620"/>
      <c r="AK46" s="620"/>
      <c r="AL46" s="621"/>
    </row>
    <row r="47" spans="2:38" s="297" customFormat="1" ht="12.75" customHeight="1">
      <c r="B47" s="604"/>
      <c r="C47" s="605"/>
      <c r="D47" s="605"/>
      <c r="E47" s="605"/>
      <c r="F47" s="605"/>
      <c r="G47" s="605"/>
      <c r="H47" s="605"/>
      <c r="I47" s="336"/>
      <c r="J47" s="336"/>
      <c r="K47" s="337"/>
      <c r="L47" s="619"/>
      <c r="M47" s="620"/>
      <c r="N47" s="620"/>
      <c r="O47" s="620"/>
      <c r="P47" s="620"/>
      <c r="Q47" s="620"/>
      <c r="R47" s="620"/>
      <c r="S47" s="620"/>
      <c r="T47" s="621"/>
      <c r="U47" s="619"/>
      <c r="V47" s="620"/>
      <c r="W47" s="620"/>
      <c r="X47" s="620"/>
      <c r="Y47" s="620"/>
      <c r="Z47" s="620"/>
      <c r="AA47" s="620"/>
      <c r="AB47" s="620"/>
      <c r="AC47" s="621"/>
      <c r="AD47" s="619"/>
      <c r="AE47" s="620"/>
      <c r="AF47" s="620"/>
      <c r="AG47" s="620"/>
      <c r="AH47" s="620"/>
      <c r="AI47" s="620"/>
      <c r="AJ47" s="620"/>
      <c r="AK47" s="620"/>
      <c r="AL47" s="621"/>
    </row>
    <row r="48" spans="2:38" s="297" customFormat="1" ht="12.75" customHeight="1">
      <c r="B48" s="332" t="s">
        <v>1701</v>
      </c>
      <c r="C48" s="333"/>
      <c r="D48" s="333"/>
      <c r="E48" s="333"/>
      <c r="F48" s="333"/>
      <c r="G48" s="333"/>
      <c r="H48" s="333"/>
      <c r="K48" s="331"/>
      <c r="L48" s="619"/>
      <c r="M48" s="620"/>
      <c r="N48" s="620"/>
      <c r="O48" s="620"/>
      <c r="P48" s="620"/>
      <c r="Q48" s="620"/>
      <c r="R48" s="620"/>
      <c r="S48" s="620"/>
      <c r="T48" s="621"/>
      <c r="U48" s="619"/>
      <c r="V48" s="620"/>
      <c r="W48" s="620"/>
      <c r="X48" s="620"/>
      <c r="Y48" s="620"/>
      <c r="Z48" s="620"/>
      <c r="AA48" s="620"/>
      <c r="AB48" s="620"/>
      <c r="AC48" s="621"/>
      <c r="AD48" s="619"/>
      <c r="AE48" s="620"/>
      <c r="AF48" s="620"/>
      <c r="AG48" s="620"/>
      <c r="AH48" s="620"/>
      <c r="AI48" s="620"/>
      <c r="AJ48" s="620"/>
      <c r="AK48" s="620"/>
      <c r="AL48" s="621"/>
    </row>
    <row r="49" spans="1:39" s="297" customFormat="1" ht="12.75" customHeight="1">
      <c r="B49" s="329"/>
      <c r="C49" s="330"/>
      <c r="D49" s="330"/>
      <c r="E49" s="330"/>
      <c r="F49" s="330"/>
      <c r="G49" s="330"/>
      <c r="H49" s="330"/>
      <c r="K49" s="331"/>
      <c r="L49" s="619"/>
      <c r="M49" s="620"/>
      <c r="N49" s="620"/>
      <c r="O49" s="620"/>
      <c r="P49" s="620"/>
      <c r="Q49" s="620"/>
      <c r="R49" s="620"/>
      <c r="S49" s="620"/>
      <c r="T49" s="621"/>
      <c r="U49" s="619"/>
      <c r="V49" s="620"/>
      <c r="W49" s="620"/>
      <c r="X49" s="620"/>
      <c r="Y49" s="620"/>
      <c r="Z49" s="620"/>
      <c r="AA49" s="620"/>
      <c r="AB49" s="620"/>
      <c r="AC49" s="621"/>
      <c r="AD49" s="619"/>
      <c r="AE49" s="620"/>
      <c r="AF49" s="620"/>
      <c r="AG49" s="620"/>
      <c r="AH49" s="620"/>
      <c r="AI49" s="620"/>
      <c r="AJ49" s="620"/>
      <c r="AK49" s="620"/>
      <c r="AL49" s="621"/>
    </row>
    <row r="50" spans="1:39" s="297" customFormat="1" ht="12.75" customHeight="1">
      <c r="B50" s="334"/>
      <c r="C50" s="335"/>
      <c r="D50" s="335"/>
      <c r="E50" s="335"/>
      <c r="F50" s="335"/>
      <c r="G50" s="335"/>
      <c r="H50" s="335"/>
      <c r="I50" s="336"/>
      <c r="J50" s="336"/>
      <c r="K50" s="337"/>
      <c r="L50" s="622"/>
      <c r="M50" s="623"/>
      <c r="N50" s="623"/>
      <c r="O50" s="623"/>
      <c r="P50" s="623"/>
      <c r="Q50" s="623"/>
      <c r="R50" s="623"/>
      <c r="S50" s="623"/>
      <c r="T50" s="624"/>
      <c r="U50" s="622"/>
      <c r="V50" s="623"/>
      <c r="W50" s="623"/>
      <c r="X50" s="623"/>
      <c r="Y50" s="623"/>
      <c r="Z50" s="623"/>
      <c r="AA50" s="623"/>
      <c r="AB50" s="623"/>
      <c r="AC50" s="624"/>
      <c r="AD50" s="622"/>
      <c r="AE50" s="623"/>
      <c r="AF50" s="623"/>
      <c r="AG50" s="623"/>
      <c r="AH50" s="623"/>
      <c r="AI50" s="623"/>
      <c r="AJ50" s="623"/>
      <c r="AK50" s="623"/>
      <c r="AL50" s="624"/>
    </row>
    <row r="51" spans="1:39" ht="12.75" customHeight="1">
      <c r="B51" s="299"/>
      <c r="C51" s="299"/>
      <c r="D51" s="299"/>
      <c r="E51" s="299"/>
      <c r="F51" s="299"/>
      <c r="G51" s="299"/>
      <c r="H51" s="299"/>
    </row>
    <row r="52" spans="1:39">
      <c r="B52" s="182"/>
      <c r="C52" s="182"/>
      <c r="D52" s="182"/>
      <c r="E52" s="182"/>
      <c r="F52" s="182"/>
      <c r="G52" s="182"/>
      <c r="H52" s="182"/>
      <c r="I52" s="182"/>
      <c r="J52" s="182"/>
      <c r="K52" s="184"/>
      <c r="U52" s="182"/>
      <c r="V52" s="182"/>
      <c r="W52" s="182"/>
      <c r="X52" s="182"/>
      <c r="Y52" s="182"/>
      <c r="Z52" s="182"/>
      <c r="AA52" s="182"/>
      <c r="AB52" s="182"/>
      <c r="AC52" s="182"/>
      <c r="AD52" s="184"/>
    </row>
    <row r="53" spans="1:39">
      <c r="A53" s="183"/>
      <c r="B53" s="183"/>
      <c r="C53" s="183"/>
      <c r="D53" s="183"/>
      <c r="E53" s="183"/>
      <c r="F53" s="183"/>
      <c r="G53" s="183"/>
      <c r="H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J53" s="183"/>
      <c r="AK53" s="183"/>
      <c r="AL53" s="183"/>
      <c r="AM53" s="183"/>
    </row>
    <row r="54" spans="1:39">
      <c r="A54" s="183"/>
      <c r="B54" s="183"/>
      <c r="C54" s="183"/>
      <c r="D54" s="183"/>
      <c r="E54" s="183"/>
      <c r="F54" s="183"/>
      <c r="G54" s="183"/>
      <c r="H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J54" s="183"/>
      <c r="AK54" s="183"/>
      <c r="AL54" s="183"/>
      <c r="AM54" s="183"/>
    </row>
    <row r="55" spans="1:39">
      <c r="A55" s="183"/>
      <c r="B55" s="183"/>
      <c r="C55" s="183"/>
      <c r="D55" s="183"/>
      <c r="E55" s="183"/>
      <c r="F55" s="183"/>
      <c r="G55" s="183"/>
      <c r="H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</row>
    <row r="56" spans="1:39">
      <c r="A56" s="183"/>
      <c r="B56" s="183"/>
      <c r="C56" s="183"/>
      <c r="D56" s="183"/>
      <c r="E56" s="183"/>
      <c r="F56" s="183"/>
      <c r="G56" s="183"/>
      <c r="H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</row>
    <row r="57" spans="1:39">
      <c r="A57" s="183"/>
      <c r="B57" s="183"/>
      <c r="C57" s="183"/>
      <c r="D57" s="183"/>
      <c r="E57" s="183"/>
      <c r="F57" s="183"/>
      <c r="G57" s="183"/>
      <c r="H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</row>
    <row r="58" spans="1:39">
      <c r="A58" s="183"/>
      <c r="B58" s="183"/>
      <c r="C58" s="183"/>
      <c r="D58" s="183"/>
      <c r="E58" s="183"/>
      <c r="F58" s="183"/>
      <c r="G58" s="183"/>
      <c r="H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</row>
    <row r="59" spans="1:39">
      <c r="A59" s="183"/>
      <c r="B59" s="183"/>
      <c r="C59" s="183"/>
      <c r="D59" s="183"/>
      <c r="E59" s="183"/>
      <c r="F59" s="183"/>
      <c r="G59" s="183"/>
      <c r="H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</row>
    <row r="60" spans="1:39">
      <c r="A60" s="183"/>
      <c r="B60" s="183"/>
      <c r="C60" s="183"/>
      <c r="D60" s="183"/>
      <c r="E60" s="183"/>
      <c r="F60" s="183"/>
      <c r="G60" s="183"/>
      <c r="H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</row>
    <row r="61" spans="1:39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</row>
    <row r="62" spans="1:39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</row>
    <row r="63" spans="1:39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</row>
    <row r="64" spans="1:39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</row>
    <row r="65" spans="1:39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</row>
    <row r="66" spans="1:39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</row>
    <row r="67" spans="1:39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</row>
    <row r="68" spans="1:39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</row>
    <row r="69" spans="1:39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</row>
    <row r="70" spans="1:39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</row>
    <row r="71" spans="1:39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</row>
    <row r="72" spans="1:39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</row>
    <row r="73" spans="1:39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</row>
    <row r="74" spans="1:39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</row>
    <row r="75" spans="1:39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</row>
    <row r="76" spans="1:39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</row>
    <row r="77" spans="1:39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</row>
    <row r="78" spans="1:39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</row>
    <row r="79" spans="1:39">
      <c r="A79" s="183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</row>
    <row r="80" spans="1:39">
      <c r="A80" s="183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</row>
    <row r="81" spans="1:39">
      <c r="A81" s="183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</row>
    <row r="82" spans="1:39">
      <c r="A82" s="183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</row>
    <row r="83" spans="1:39">
      <c r="A83" s="183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</row>
    <row r="84" spans="1:39">
      <c r="A84" s="183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</row>
    <row r="85" spans="1:39">
      <c r="A85" s="183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</row>
    <row r="86" spans="1:39">
      <c r="A86" s="18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</row>
    <row r="87" spans="1:39">
      <c r="A87" s="18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</row>
    <row r="88" spans="1:39">
      <c r="A88" s="18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</row>
    <row r="89" spans="1:39">
      <c r="A89" s="183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</row>
    <row r="90" spans="1:39">
      <c r="A90" s="18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</row>
    <row r="91" spans="1:39">
      <c r="A91" s="183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</row>
    <row r="92" spans="1:39">
      <c r="A92" s="183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</row>
    <row r="93" spans="1:39">
      <c r="A93" s="183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</row>
    <row r="94" spans="1:39">
      <c r="A94" s="183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</row>
    <row r="95" spans="1:39">
      <c r="A95" s="18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</row>
    <row r="96" spans="1:39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</row>
    <row r="97" spans="1:39">
      <c r="A97" s="183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</row>
    <row r="98" spans="1:39">
      <c r="A98" s="183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</row>
    <row r="99" spans="1:39">
      <c r="A99" s="183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</row>
    <row r="100" spans="1:39">
      <c r="A100" s="18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</row>
    <row r="101" spans="1:39">
      <c r="A101" s="183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</row>
    <row r="102" spans="1:39">
      <c r="A102" s="183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</row>
    <row r="103" spans="1:39">
      <c r="A103" s="183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</row>
    <row r="104" spans="1:39">
      <c r="A104" s="183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</row>
    <row r="105" spans="1:39">
      <c r="A105" s="183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</row>
    <row r="106" spans="1:39">
      <c r="A106" s="183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</row>
    <row r="107" spans="1:39">
      <c r="A107" s="183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</row>
    <row r="108" spans="1:39">
      <c r="A108" s="18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</row>
    <row r="109" spans="1:39">
      <c r="A109" s="183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</row>
    <row r="110" spans="1:39">
      <c r="A110" s="183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</row>
    <row r="111" spans="1:39">
      <c r="A111" s="183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</row>
    <row r="112" spans="1:39">
      <c r="A112" s="183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</row>
    <row r="113" spans="1:39">
      <c r="A113" s="18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</row>
    <row r="114" spans="1:39">
      <c r="A114" s="183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</row>
    <row r="115" spans="1:39">
      <c r="A115" s="183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</row>
    <row r="116" spans="1:39">
      <c r="A116" s="183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</row>
    <row r="117" spans="1:39">
      <c r="A117" s="183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</row>
    <row r="118" spans="1:39">
      <c r="A118" s="183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</row>
    <row r="119" spans="1:39">
      <c r="A119" s="183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</row>
    <row r="120" spans="1:39">
      <c r="A120" s="183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</row>
    <row r="121" spans="1:39">
      <c r="A121" s="183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</row>
    <row r="122" spans="1:39">
      <c r="A122" s="18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</row>
    <row r="123" spans="1:39">
      <c r="A123" s="183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</row>
    <row r="124" spans="1:39">
      <c r="A124" s="183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</row>
    <row r="125" spans="1:39">
      <c r="A125" s="183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</row>
    <row r="126" spans="1:39">
      <c r="A126" s="18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</row>
    <row r="127" spans="1:39">
      <c r="A127" s="18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</row>
    <row r="128" spans="1:39">
      <c r="A128" s="18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</row>
    <row r="129" spans="1:39">
      <c r="A129" s="183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</row>
    <row r="130" spans="1:39">
      <c r="A130" s="18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</row>
    <row r="131" spans="1:39">
      <c r="A131" s="183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</row>
    <row r="132" spans="1:39">
      <c r="A132" s="183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</row>
    <row r="133" spans="1:39">
      <c r="A133" s="183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</row>
    <row r="134" spans="1:39">
      <c r="A134" s="183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</row>
    <row r="135" spans="1:39">
      <c r="A135" s="183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</row>
    <row r="136" spans="1:39">
      <c r="A136" s="183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</row>
    <row r="137" spans="1:39">
      <c r="A137" s="183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</row>
    <row r="138" spans="1:39">
      <c r="A138" s="183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</row>
    <row r="139" spans="1:39">
      <c r="A139" s="183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</row>
    <row r="140" spans="1:39">
      <c r="A140" s="18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</row>
    <row r="141" spans="1:39">
      <c r="A141" s="183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</row>
    <row r="142" spans="1:39">
      <c r="A142" s="183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</row>
    <row r="143" spans="1:39">
      <c r="A143" s="183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</row>
    <row r="144" spans="1:39">
      <c r="A144" s="183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</row>
    <row r="145" spans="1:39">
      <c r="A145" s="183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</row>
    <row r="146" spans="1:39">
      <c r="A146" s="183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</row>
    <row r="147" spans="1:39">
      <c r="A147" s="183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</row>
    <row r="148" spans="1:39">
      <c r="A148" s="183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</row>
    <row r="149" spans="1:39">
      <c r="A149" s="183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</row>
    <row r="150" spans="1:39">
      <c r="A150" s="183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</row>
    <row r="151" spans="1:39">
      <c r="A151" s="183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</row>
    <row r="152" spans="1:39">
      <c r="A152" s="183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</row>
    <row r="153" spans="1:39">
      <c r="A153" s="183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</row>
    <row r="154" spans="1:39">
      <c r="A154" s="18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</row>
    <row r="155" spans="1:39">
      <c r="A155" s="183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</row>
    <row r="156" spans="1:39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</row>
    <row r="157" spans="1:39">
      <c r="A157" s="183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</row>
    <row r="158" spans="1:39">
      <c r="A158" s="18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</row>
    <row r="159" spans="1:39">
      <c r="A159" s="183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</row>
    <row r="160" spans="1:39">
      <c r="A160" s="183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</row>
    <row r="161" spans="1:39">
      <c r="A161" s="183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</row>
    <row r="162" spans="1:39">
      <c r="A162" s="183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</row>
    <row r="163" spans="1:39">
      <c r="A163" s="183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</row>
    <row r="164" spans="1:39">
      <c r="A164" s="183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</row>
    <row r="165" spans="1:39">
      <c r="A165" s="183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</row>
    <row r="166" spans="1:39">
      <c r="A166" s="18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</row>
    <row r="167" spans="1:39">
      <c r="A167" s="183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</row>
    <row r="168" spans="1:39">
      <c r="A168" s="183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</row>
    <row r="169" spans="1:39">
      <c r="A169" s="183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</row>
    <row r="170" spans="1:39">
      <c r="A170" s="18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</row>
    <row r="171" spans="1:39">
      <c r="A171" s="183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</row>
    <row r="172" spans="1:39">
      <c r="A172" s="183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</row>
    <row r="173" spans="1:39">
      <c r="A173" s="183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</row>
    <row r="174" spans="1:39">
      <c r="A174" s="183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</row>
    <row r="175" spans="1:39">
      <c r="A175" s="183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</row>
    <row r="176" spans="1:39">
      <c r="A176" s="183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</row>
    <row r="177" spans="1:39">
      <c r="A177" s="183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</row>
    <row r="178" spans="1:39">
      <c r="A178" s="183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</row>
    <row r="179" spans="1:39">
      <c r="A179" s="18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</row>
    <row r="180" spans="1:39">
      <c r="A180" s="183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</row>
    <row r="181" spans="1:39">
      <c r="A181" s="183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</row>
    <row r="182" spans="1:39">
      <c r="A182" s="183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</row>
    <row r="183" spans="1:39">
      <c r="A183" s="183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</row>
    <row r="184" spans="1:39">
      <c r="A184" s="183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</row>
    <row r="185" spans="1:39">
      <c r="A185" s="183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</row>
    <row r="186" spans="1:39">
      <c r="A186" s="18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</row>
    <row r="187" spans="1:39">
      <c r="A187" s="183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</row>
    <row r="188" spans="1:39">
      <c r="A188" s="183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</row>
    <row r="189" spans="1:39">
      <c r="A189" s="18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</row>
    <row r="190" spans="1:39">
      <c r="A190" s="183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</row>
    <row r="191" spans="1:39">
      <c r="A191" s="183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</row>
    <row r="192" spans="1:39">
      <c r="A192" s="183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</row>
    <row r="193" spans="1:39">
      <c r="A193" s="183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</row>
    <row r="194" spans="1:39">
      <c r="A194" s="183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</row>
    <row r="195" spans="1:39">
      <c r="A195" s="183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</row>
    <row r="196" spans="1:39">
      <c r="A196" s="183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</row>
    <row r="197" spans="1:39">
      <c r="A197" s="183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</row>
    <row r="198" spans="1:39">
      <c r="A198" s="18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</row>
    <row r="199" spans="1:39">
      <c r="A199" s="183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</row>
    <row r="200" spans="1:39">
      <c r="A200" s="183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</row>
    <row r="201" spans="1:39">
      <c r="A201" s="183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</row>
    <row r="202" spans="1:39">
      <c r="A202" s="183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</row>
    <row r="203" spans="1:39">
      <c r="A203" s="183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</row>
    <row r="204" spans="1:39">
      <c r="A204" s="183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</row>
    <row r="205" spans="1:39">
      <c r="A205" s="183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</row>
    <row r="206" spans="1:39">
      <c r="A206" s="183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</row>
    <row r="207" spans="1:39">
      <c r="A207" s="183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</row>
    <row r="208" spans="1:39">
      <c r="A208" s="183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</row>
    <row r="209" spans="1:39">
      <c r="A209" s="183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</row>
    <row r="210" spans="1:39">
      <c r="A210" s="18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</row>
    <row r="211" spans="1:39">
      <c r="A211" s="183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</row>
    <row r="212" spans="1:39">
      <c r="A212" s="18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</row>
    <row r="213" spans="1:39">
      <c r="A213" s="183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</row>
    <row r="214" spans="1:39">
      <c r="A214" s="183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</row>
    <row r="215" spans="1:39">
      <c r="A215" s="183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</row>
    <row r="216" spans="1:39">
      <c r="A216" s="183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</row>
    <row r="217" spans="1:39">
      <c r="A217" s="183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</row>
    <row r="218" spans="1:39">
      <c r="A218" s="183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</row>
    <row r="219" spans="1:39">
      <c r="A219" s="183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</row>
    <row r="220" spans="1:39">
      <c r="A220" s="183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</row>
    <row r="221" spans="1:39">
      <c r="A221" s="183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</row>
    <row r="222" spans="1:39">
      <c r="A222" s="183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</row>
    <row r="223" spans="1:39">
      <c r="A223" s="183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</row>
    <row r="224" spans="1:39">
      <c r="A224" s="183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</row>
    <row r="225" spans="1:39">
      <c r="A225" s="183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</row>
    <row r="226" spans="1:39">
      <c r="A226" s="183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</row>
    <row r="227" spans="1:39">
      <c r="A227" s="183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</row>
    <row r="228" spans="1:39">
      <c r="A228" s="183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</row>
    <row r="229" spans="1:39">
      <c r="A229" s="183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</row>
    <row r="230" spans="1:39">
      <c r="A230" s="183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</row>
    <row r="231" spans="1:39">
      <c r="A231" s="183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</row>
    <row r="232" spans="1:39">
      <c r="A232" s="183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</row>
    <row r="233" spans="1:39">
      <c r="A233" s="18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</row>
    <row r="234" spans="1:39">
      <c r="A234" s="18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</row>
    <row r="235" spans="1:39">
      <c r="A235" s="18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</row>
    <row r="236" spans="1:39">
      <c r="A236" s="18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</row>
    <row r="237" spans="1:39">
      <c r="A237" s="18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</row>
    <row r="238" spans="1:39">
      <c r="A238" s="18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</row>
    <row r="239" spans="1:39">
      <c r="A239" s="18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</row>
    <row r="240" spans="1:39">
      <c r="A240" s="18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</row>
    <row r="241" spans="1:39">
      <c r="A241" s="18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</row>
    <row r="242" spans="1:39">
      <c r="A242" s="18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</row>
    <row r="243" spans="1:39">
      <c r="A243" s="18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</row>
    <row r="244" spans="1:39">
      <c r="A244" s="18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</row>
    <row r="245" spans="1:39">
      <c r="A245" s="18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</row>
    <row r="246" spans="1:39">
      <c r="A246" s="18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</row>
    <row r="247" spans="1:39">
      <c r="A247" s="18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</row>
    <row r="248" spans="1:39">
      <c r="A248" s="18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</row>
    <row r="249" spans="1:39">
      <c r="A249" s="18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</row>
    <row r="250" spans="1:39">
      <c r="A250" s="18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</row>
    <row r="251" spans="1:39">
      <c r="A251" s="18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</row>
    <row r="252" spans="1:39">
      <c r="A252" s="18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</row>
    <row r="253" spans="1:39">
      <c r="A253" s="18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</row>
    <row r="254" spans="1:39">
      <c r="A254" s="18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</row>
    <row r="255" spans="1:39">
      <c r="A255" s="18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</row>
    <row r="256" spans="1:39">
      <c r="A256" s="18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</row>
    <row r="257" spans="1:39">
      <c r="A257" s="18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</row>
    <row r="258" spans="1:39">
      <c r="A258" s="18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</row>
    <row r="259" spans="1:39">
      <c r="A259" s="18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</row>
    <row r="260" spans="1:39">
      <c r="A260" s="18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</row>
    <row r="261" spans="1:39">
      <c r="A261" s="18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</row>
    <row r="262" spans="1:39">
      <c r="A262" s="18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</row>
    <row r="263" spans="1:39">
      <c r="A263" s="18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</row>
    <row r="264" spans="1:39">
      <c r="A264" s="18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</row>
    <row r="265" spans="1:39">
      <c r="A265" s="18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</row>
    <row r="266" spans="1:39">
      <c r="A266" s="18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</row>
    <row r="267" spans="1:39">
      <c r="A267" s="18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</row>
    <row r="268" spans="1:39">
      <c r="A268" s="18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</row>
    <row r="269" spans="1:39">
      <c r="A269" s="18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</row>
    <row r="270" spans="1:39">
      <c r="A270" s="18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</row>
    <row r="271" spans="1:39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</row>
    <row r="272" spans="1:39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</row>
    <row r="273" spans="1:39">
      <c r="A273" s="18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</row>
    <row r="274" spans="1:39">
      <c r="A274" s="18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</row>
    <row r="275" spans="1:39">
      <c r="A275" s="18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</row>
    <row r="276" spans="1:39">
      <c r="A276" s="18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</row>
  </sheetData>
  <mergeCells count="21">
    <mergeCell ref="AD45:AL50"/>
    <mergeCell ref="Y18:AD21"/>
    <mergeCell ref="G18:K19"/>
    <mergeCell ref="L45:T50"/>
    <mergeCell ref="U45:AC50"/>
    <mergeCell ref="N3:Y3"/>
    <mergeCell ref="N5:Y5"/>
    <mergeCell ref="N6:Y6"/>
    <mergeCell ref="B47:H47"/>
    <mergeCell ref="B36:E36"/>
    <mergeCell ref="I36:R36"/>
    <mergeCell ref="B11:K11"/>
    <mergeCell ref="B15:D15"/>
    <mergeCell ref="B28:R28"/>
    <mergeCell ref="B32:J32"/>
    <mergeCell ref="B33:H33"/>
    <mergeCell ref="N11:X11"/>
    <mergeCell ref="B18:E19"/>
    <mergeCell ref="B39:I39"/>
    <mergeCell ref="B42:G42"/>
    <mergeCell ref="T8:W8"/>
  </mergeCells>
  <conditionalFormatting sqref="N13 N15 T13">
    <cfRule type="cellIs" dxfId="5" priority="6" operator="equal">
      <formula>0</formula>
    </cfRule>
  </conditionalFormatting>
  <conditionalFormatting sqref="B47">
    <cfRule type="cellIs" dxfId="4" priority="5" operator="equal">
      <formula>0</formula>
    </cfRule>
  </conditionalFormatting>
  <conditionalFormatting sqref="T15">
    <cfRule type="cellIs" dxfId="3" priority="1" operator="equal">
      <formula>0</formula>
    </cfRule>
  </conditionalFormatting>
  <dataValidations count="1">
    <dataValidation type="whole" allowBlank="1" showInputMessage="1" showErrorMessage="1" promptTitle="Upozornenie" prompt="IČO zarovnávajte doprava. _x000a_Ak vaše IČO nie je osemiestne, doplňte ho zľava nulami na osem miest!!!" sqref="WVJ983062:WVQ983062 IX16:JE18 ST16:TA18 ACP16:ACW18 AML16:AMS18 AWH16:AWO18 BGD16:BGK18 BPZ16:BQG18 BZV16:CAC18 CJR16:CJY18 CTN16:CTU18 DDJ16:DDQ18 DNF16:DNM18 DXB16:DXI18 EGX16:EHE18 EQT16:ERA18 FAP16:FAW18 FKL16:FKS18 FUH16:FUO18 GED16:GEK18 GNZ16:GOG18 GXV16:GYC18 HHR16:HHY18 HRN16:HRU18 IBJ16:IBQ18 ILF16:ILM18 IVB16:IVI18 JEX16:JFE18 JOT16:JPA18 JYP16:JYW18 KIL16:KIS18 KSH16:KSO18 LCD16:LCK18 LLZ16:LMG18 LVV16:LWC18 MFR16:MFY18 MPN16:MPU18 MZJ16:MZQ18 NJF16:NJM18 NTB16:NTI18 OCX16:ODE18 OMT16:ONA18 OWP16:OWW18 PGL16:PGS18 PQH16:PQO18 QAD16:QAK18 QJZ16:QKG18 QTV16:QUC18 RDR16:RDY18 RNN16:RNU18 RXJ16:RXQ18 SHF16:SHM18 SRB16:SRI18 TAX16:TBE18 TKT16:TLA18 TUP16:TUW18 UEL16:UES18 UOH16:UOO18 UYD16:UYK18 VHZ16:VIG18 VRV16:VSC18 WBR16:WBY18 WLN16:WLU18 WVJ16:WVQ18 B65558:I65558 IX65558:JE65558 ST65558:TA65558 ACP65558:ACW65558 AML65558:AMS65558 AWH65558:AWO65558 BGD65558:BGK65558 BPZ65558:BQG65558 BZV65558:CAC65558 CJR65558:CJY65558 CTN65558:CTU65558 DDJ65558:DDQ65558 DNF65558:DNM65558 DXB65558:DXI65558 EGX65558:EHE65558 EQT65558:ERA65558 FAP65558:FAW65558 FKL65558:FKS65558 FUH65558:FUO65558 GED65558:GEK65558 GNZ65558:GOG65558 GXV65558:GYC65558 HHR65558:HHY65558 HRN65558:HRU65558 IBJ65558:IBQ65558 ILF65558:ILM65558 IVB65558:IVI65558 JEX65558:JFE65558 JOT65558:JPA65558 JYP65558:JYW65558 KIL65558:KIS65558 KSH65558:KSO65558 LCD65558:LCK65558 LLZ65558:LMG65558 LVV65558:LWC65558 MFR65558:MFY65558 MPN65558:MPU65558 MZJ65558:MZQ65558 NJF65558:NJM65558 NTB65558:NTI65558 OCX65558:ODE65558 OMT65558:ONA65558 OWP65558:OWW65558 PGL65558:PGS65558 PQH65558:PQO65558 QAD65558:QAK65558 QJZ65558:QKG65558 QTV65558:QUC65558 RDR65558:RDY65558 RNN65558:RNU65558 RXJ65558:RXQ65558 SHF65558:SHM65558 SRB65558:SRI65558 TAX65558:TBE65558 TKT65558:TLA65558 TUP65558:TUW65558 UEL65558:UES65558 UOH65558:UOO65558 UYD65558:UYK65558 VHZ65558:VIG65558 VRV65558:VSC65558 WBR65558:WBY65558 WLN65558:WLU65558 WVJ65558:WVQ65558 B131094:I131094 IX131094:JE131094 ST131094:TA131094 ACP131094:ACW131094 AML131094:AMS131094 AWH131094:AWO131094 BGD131094:BGK131094 BPZ131094:BQG131094 BZV131094:CAC131094 CJR131094:CJY131094 CTN131094:CTU131094 DDJ131094:DDQ131094 DNF131094:DNM131094 DXB131094:DXI131094 EGX131094:EHE131094 EQT131094:ERA131094 FAP131094:FAW131094 FKL131094:FKS131094 FUH131094:FUO131094 GED131094:GEK131094 GNZ131094:GOG131094 GXV131094:GYC131094 HHR131094:HHY131094 HRN131094:HRU131094 IBJ131094:IBQ131094 ILF131094:ILM131094 IVB131094:IVI131094 JEX131094:JFE131094 JOT131094:JPA131094 JYP131094:JYW131094 KIL131094:KIS131094 KSH131094:KSO131094 LCD131094:LCK131094 LLZ131094:LMG131094 LVV131094:LWC131094 MFR131094:MFY131094 MPN131094:MPU131094 MZJ131094:MZQ131094 NJF131094:NJM131094 NTB131094:NTI131094 OCX131094:ODE131094 OMT131094:ONA131094 OWP131094:OWW131094 PGL131094:PGS131094 PQH131094:PQO131094 QAD131094:QAK131094 QJZ131094:QKG131094 QTV131094:QUC131094 RDR131094:RDY131094 RNN131094:RNU131094 RXJ131094:RXQ131094 SHF131094:SHM131094 SRB131094:SRI131094 TAX131094:TBE131094 TKT131094:TLA131094 TUP131094:TUW131094 UEL131094:UES131094 UOH131094:UOO131094 UYD131094:UYK131094 VHZ131094:VIG131094 VRV131094:VSC131094 WBR131094:WBY131094 WLN131094:WLU131094 WVJ131094:WVQ131094 B196630:I196630 IX196630:JE196630 ST196630:TA196630 ACP196630:ACW196630 AML196630:AMS196630 AWH196630:AWO196630 BGD196630:BGK196630 BPZ196630:BQG196630 BZV196630:CAC196630 CJR196630:CJY196630 CTN196630:CTU196630 DDJ196630:DDQ196630 DNF196630:DNM196630 DXB196630:DXI196630 EGX196630:EHE196630 EQT196630:ERA196630 FAP196630:FAW196630 FKL196630:FKS196630 FUH196630:FUO196630 GED196630:GEK196630 GNZ196630:GOG196630 GXV196630:GYC196630 HHR196630:HHY196630 HRN196630:HRU196630 IBJ196630:IBQ196630 ILF196630:ILM196630 IVB196630:IVI196630 JEX196630:JFE196630 JOT196630:JPA196630 JYP196630:JYW196630 KIL196630:KIS196630 KSH196630:KSO196630 LCD196630:LCK196630 LLZ196630:LMG196630 LVV196630:LWC196630 MFR196630:MFY196630 MPN196630:MPU196630 MZJ196630:MZQ196630 NJF196630:NJM196630 NTB196630:NTI196630 OCX196630:ODE196630 OMT196630:ONA196630 OWP196630:OWW196630 PGL196630:PGS196630 PQH196630:PQO196630 QAD196630:QAK196630 QJZ196630:QKG196630 QTV196630:QUC196630 RDR196630:RDY196630 RNN196630:RNU196630 RXJ196630:RXQ196630 SHF196630:SHM196630 SRB196630:SRI196630 TAX196630:TBE196630 TKT196630:TLA196630 TUP196630:TUW196630 UEL196630:UES196630 UOH196630:UOO196630 UYD196630:UYK196630 VHZ196630:VIG196630 VRV196630:VSC196630 WBR196630:WBY196630 WLN196630:WLU196630 WVJ196630:WVQ196630 B262166:I262166 IX262166:JE262166 ST262166:TA262166 ACP262166:ACW262166 AML262166:AMS262166 AWH262166:AWO262166 BGD262166:BGK262166 BPZ262166:BQG262166 BZV262166:CAC262166 CJR262166:CJY262166 CTN262166:CTU262166 DDJ262166:DDQ262166 DNF262166:DNM262166 DXB262166:DXI262166 EGX262166:EHE262166 EQT262166:ERA262166 FAP262166:FAW262166 FKL262166:FKS262166 FUH262166:FUO262166 GED262166:GEK262166 GNZ262166:GOG262166 GXV262166:GYC262166 HHR262166:HHY262166 HRN262166:HRU262166 IBJ262166:IBQ262166 ILF262166:ILM262166 IVB262166:IVI262166 JEX262166:JFE262166 JOT262166:JPA262166 JYP262166:JYW262166 KIL262166:KIS262166 KSH262166:KSO262166 LCD262166:LCK262166 LLZ262166:LMG262166 LVV262166:LWC262166 MFR262166:MFY262166 MPN262166:MPU262166 MZJ262166:MZQ262166 NJF262166:NJM262166 NTB262166:NTI262166 OCX262166:ODE262166 OMT262166:ONA262166 OWP262166:OWW262166 PGL262166:PGS262166 PQH262166:PQO262166 QAD262166:QAK262166 QJZ262166:QKG262166 QTV262166:QUC262166 RDR262166:RDY262166 RNN262166:RNU262166 RXJ262166:RXQ262166 SHF262166:SHM262166 SRB262166:SRI262166 TAX262166:TBE262166 TKT262166:TLA262166 TUP262166:TUW262166 UEL262166:UES262166 UOH262166:UOO262166 UYD262166:UYK262166 VHZ262166:VIG262166 VRV262166:VSC262166 WBR262166:WBY262166 WLN262166:WLU262166 WVJ262166:WVQ262166 B327702:I327702 IX327702:JE327702 ST327702:TA327702 ACP327702:ACW327702 AML327702:AMS327702 AWH327702:AWO327702 BGD327702:BGK327702 BPZ327702:BQG327702 BZV327702:CAC327702 CJR327702:CJY327702 CTN327702:CTU327702 DDJ327702:DDQ327702 DNF327702:DNM327702 DXB327702:DXI327702 EGX327702:EHE327702 EQT327702:ERA327702 FAP327702:FAW327702 FKL327702:FKS327702 FUH327702:FUO327702 GED327702:GEK327702 GNZ327702:GOG327702 GXV327702:GYC327702 HHR327702:HHY327702 HRN327702:HRU327702 IBJ327702:IBQ327702 ILF327702:ILM327702 IVB327702:IVI327702 JEX327702:JFE327702 JOT327702:JPA327702 JYP327702:JYW327702 KIL327702:KIS327702 KSH327702:KSO327702 LCD327702:LCK327702 LLZ327702:LMG327702 LVV327702:LWC327702 MFR327702:MFY327702 MPN327702:MPU327702 MZJ327702:MZQ327702 NJF327702:NJM327702 NTB327702:NTI327702 OCX327702:ODE327702 OMT327702:ONA327702 OWP327702:OWW327702 PGL327702:PGS327702 PQH327702:PQO327702 QAD327702:QAK327702 QJZ327702:QKG327702 QTV327702:QUC327702 RDR327702:RDY327702 RNN327702:RNU327702 RXJ327702:RXQ327702 SHF327702:SHM327702 SRB327702:SRI327702 TAX327702:TBE327702 TKT327702:TLA327702 TUP327702:TUW327702 UEL327702:UES327702 UOH327702:UOO327702 UYD327702:UYK327702 VHZ327702:VIG327702 VRV327702:VSC327702 WBR327702:WBY327702 WLN327702:WLU327702 WVJ327702:WVQ327702 B393238:I393238 IX393238:JE393238 ST393238:TA393238 ACP393238:ACW393238 AML393238:AMS393238 AWH393238:AWO393238 BGD393238:BGK393238 BPZ393238:BQG393238 BZV393238:CAC393238 CJR393238:CJY393238 CTN393238:CTU393238 DDJ393238:DDQ393238 DNF393238:DNM393238 DXB393238:DXI393238 EGX393238:EHE393238 EQT393238:ERA393238 FAP393238:FAW393238 FKL393238:FKS393238 FUH393238:FUO393238 GED393238:GEK393238 GNZ393238:GOG393238 GXV393238:GYC393238 HHR393238:HHY393238 HRN393238:HRU393238 IBJ393238:IBQ393238 ILF393238:ILM393238 IVB393238:IVI393238 JEX393238:JFE393238 JOT393238:JPA393238 JYP393238:JYW393238 KIL393238:KIS393238 KSH393238:KSO393238 LCD393238:LCK393238 LLZ393238:LMG393238 LVV393238:LWC393238 MFR393238:MFY393238 MPN393238:MPU393238 MZJ393238:MZQ393238 NJF393238:NJM393238 NTB393238:NTI393238 OCX393238:ODE393238 OMT393238:ONA393238 OWP393238:OWW393238 PGL393238:PGS393238 PQH393238:PQO393238 QAD393238:QAK393238 QJZ393238:QKG393238 QTV393238:QUC393238 RDR393238:RDY393238 RNN393238:RNU393238 RXJ393238:RXQ393238 SHF393238:SHM393238 SRB393238:SRI393238 TAX393238:TBE393238 TKT393238:TLA393238 TUP393238:TUW393238 UEL393238:UES393238 UOH393238:UOO393238 UYD393238:UYK393238 VHZ393238:VIG393238 VRV393238:VSC393238 WBR393238:WBY393238 WLN393238:WLU393238 WVJ393238:WVQ393238 B458774:I458774 IX458774:JE458774 ST458774:TA458774 ACP458774:ACW458774 AML458774:AMS458774 AWH458774:AWO458774 BGD458774:BGK458774 BPZ458774:BQG458774 BZV458774:CAC458774 CJR458774:CJY458774 CTN458774:CTU458774 DDJ458774:DDQ458774 DNF458774:DNM458774 DXB458774:DXI458774 EGX458774:EHE458774 EQT458774:ERA458774 FAP458774:FAW458774 FKL458774:FKS458774 FUH458774:FUO458774 GED458774:GEK458774 GNZ458774:GOG458774 GXV458774:GYC458774 HHR458774:HHY458774 HRN458774:HRU458774 IBJ458774:IBQ458774 ILF458774:ILM458774 IVB458774:IVI458774 JEX458774:JFE458774 JOT458774:JPA458774 JYP458774:JYW458774 KIL458774:KIS458774 KSH458774:KSO458774 LCD458774:LCK458774 LLZ458774:LMG458774 LVV458774:LWC458774 MFR458774:MFY458774 MPN458774:MPU458774 MZJ458774:MZQ458774 NJF458774:NJM458774 NTB458774:NTI458774 OCX458774:ODE458774 OMT458774:ONA458774 OWP458774:OWW458774 PGL458774:PGS458774 PQH458774:PQO458774 QAD458774:QAK458774 QJZ458774:QKG458774 QTV458774:QUC458774 RDR458774:RDY458774 RNN458774:RNU458774 RXJ458774:RXQ458774 SHF458774:SHM458774 SRB458774:SRI458774 TAX458774:TBE458774 TKT458774:TLA458774 TUP458774:TUW458774 UEL458774:UES458774 UOH458774:UOO458774 UYD458774:UYK458774 VHZ458774:VIG458774 VRV458774:VSC458774 WBR458774:WBY458774 WLN458774:WLU458774 WVJ458774:WVQ458774 B524310:I524310 IX524310:JE524310 ST524310:TA524310 ACP524310:ACW524310 AML524310:AMS524310 AWH524310:AWO524310 BGD524310:BGK524310 BPZ524310:BQG524310 BZV524310:CAC524310 CJR524310:CJY524310 CTN524310:CTU524310 DDJ524310:DDQ524310 DNF524310:DNM524310 DXB524310:DXI524310 EGX524310:EHE524310 EQT524310:ERA524310 FAP524310:FAW524310 FKL524310:FKS524310 FUH524310:FUO524310 GED524310:GEK524310 GNZ524310:GOG524310 GXV524310:GYC524310 HHR524310:HHY524310 HRN524310:HRU524310 IBJ524310:IBQ524310 ILF524310:ILM524310 IVB524310:IVI524310 JEX524310:JFE524310 JOT524310:JPA524310 JYP524310:JYW524310 KIL524310:KIS524310 KSH524310:KSO524310 LCD524310:LCK524310 LLZ524310:LMG524310 LVV524310:LWC524310 MFR524310:MFY524310 MPN524310:MPU524310 MZJ524310:MZQ524310 NJF524310:NJM524310 NTB524310:NTI524310 OCX524310:ODE524310 OMT524310:ONA524310 OWP524310:OWW524310 PGL524310:PGS524310 PQH524310:PQO524310 QAD524310:QAK524310 QJZ524310:QKG524310 QTV524310:QUC524310 RDR524310:RDY524310 RNN524310:RNU524310 RXJ524310:RXQ524310 SHF524310:SHM524310 SRB524310:SRI524310 TAX524310:TBE524310 TKT524310:TLA524310 TUP524310:TUW524310 UEL524310:UES524310 UOH524310:UOO524310 UYD524310:UYK524310 VHZ524310:VIG524310 VRV524310:VSC524310 WBR524310:WBY524310 WLN524310:WLU524310 WVJ524310:WVQ524310 B589846:I589846 IX589846:JE589846 ST589846:TA589846 ACP589846:ACW589846 AML589846:AMS589846 AWH589846:AWO589846 BGD589846:BGK589846 BPZ589846:BQG589846 BZV589846:CAC589846 CJR589846:CJY589846 CTN589846:CTU589846 DDJ589846:DDQ589846 DNF589846:DNM589846 DXB589846:DXI589846 EGX589846:EHE589846 EQT589846:ERA589846 FAP589846:FAW589846 FKL589846:FKS589846 FUH589846:FUO589846 GED589846:GEK589846 GNZ589846:GOG589846 GXV589846:GYC589846 HHR589846:HHY589846 HRN589846:HRU589846 IBJ589846:IBQ589846 ILF589846:ILM589846 IVB589846:IVI589846 JEX589846:JFE589846 JOT589846:JPA589846 JYP589846:JYW589846 KIL589846:KIS589846 KSH589846:KSO589846 LCD589846:LCK589846 LLZ589846:LMG589846 LVV589846:LWC589846 MFR589846:MFY589846 MPN589846:MPU589846 MZJ589846:MZQ589846 NJF589846:NJM589846 NTB589846:NTI589846 OCX589846:ODE589846 OMT589846:ONA589846 OWP589846:OWW589846 PGL589846:PGS589846 PQH589846:PQO589846 QAD589846:QAK589846 QJZ589846:QKG589846 QTV589846:QUC589846 RDR589846:RDY589846 RNN589846:RNU589846 RXJ589846:RXQ589846 SHF589846:SHM589846 SRB589846:SRI589846 TAX589846:TBE589846 TKT589846:TLA589846 TUP589846:TUW589846 UEL589846:UES589846 UOH589846:UOO589846 UYD589846:UYK589846 VHZ589846:VIG589846 VRV589846:VSC589846 WBR589846:WBY589846 WLN589846:WLU589846 WVJ589846:WVQ589846 B655382:I655382 IX655382:JE655382 ST655382:TA655382 ACP655382:ACW655382 AML655382:AMS655382 AWH655382:AWO655382 BGD655382:BGK655382 BPZ655382:BQG655382 BZV655382:CAC655382 CJR655382:CJY655382 CTN655382:CTU655382 DDJ655382:DDQ655382 DNF655382:DNM655382 DXB655382:DXI655382 EGX655382:EHE655382 EQT655382:ERA655382 FAP655382:FAW655382 FKL655382:FKS655382 FUH655382:FUO655382 GED655382:GEK655382 GNZ655382:GOG655382 GXV655382:GYC655382 HHR655382:HHY655382 HRN655382:HRU655382 IBJ655382:IBQ655382 ILF655382:ILM655382 IVB655382:IVI655382 JEX655382:JFE655382 JOT655382:JPA655382 JYP655382:JYW655382 KIL655382:KIS655382 KSH655382:KSO655382 LCD655382:LCK655382 LLZ655382:LMG655382 LVV655382:LWC655382 MFR655382:MFY655382 MPN655382:MPU655382 MZJ655382:MZQ655382 NJF655382:NJM655382 NTB655382:NTI655382 OCX655382:ODE655382 OMT655382:ONA655382 OWP655382:OWW655382 PGL655382:PGS655382 PQH655382:PQO655382 QAD655382:QAK655382 QJZ655382:QKG655382 QTV655382:QUC655382 RDR655382:RDY655382 RNN655382:RNU655382 RXJ655382:RXQ655382 SHF655382:SHM655382 SRB655382:SRI655382 TAX655382:TBE655382 TKT655382:TLA655382 TUP655382:TUW655382 UEL655382:UES655382 UOH655382:UOO655382 UYD655382:UYK655382 VHZ655382:VIG655382 VRV655382:VSC655382 WBR655382:WBY655382 WLN655382:WLU655382 WVJ655382:WVQ655382 B720918:I720918 IX720918:JE720918 ST720918:TA720918 ACP720918:ACW720918 AML720918:AMS720918 AWH720918:AWO720918 BGD720918:BGK720918 BPZ720918:BQG720918 BZV720918:CAC720918 CJR720918:CJY720918 CTN720918:CTU720918 DDJ720918:DDQ720918 DNF720918:DNM720918 DXB720918:DXI720918 EGX720918:EHE720918 EQT720918:ERA720918 FAP720918:FAW720918 FKL720918:FKS720918 FUH720918:FUO720918 GED720918:GEK720918 GNZ720918:GOG720918 GXV720918:GYC720918 HHR720918:HHY720918 HRN720918:HRU720918 IBJ720918:IBQ720918 ILF720918:ILM720918 IVB720918:IVI720918 JEX720918:JFE720918 JOT720918:JPA720918 JYP720918:JYW720918 KIL720918:KIS720918 KSH720918:KSO720918 LCD720918:LCK720918 LLZ720918:LMG720918 LVV720918:LWC720918 MFR720918:MFY720918 MPN720918:MPU720918 MZJ720918:MZQ720918 NJF720918:NJM720918 NTB720918:NTI720918 OCX720918:ODE720918 OMT720918:ONA720918 OWP720918:OWW720918 PGL720918:PGS720918 PQH720918:PQO720918 QAD720918:QAK720918 QJZ720918:QKG720918 QTV720918:QUC720918 RDR720918:RDY720918 RNN720918:RNU720918 RXJ720918:RXQ720918 SHF720918:SHM720918 SRB720918:SRI720918 TAX720918:TBE720918 TKT720918:TLA720918 TUP720918:TUW720918 UEL720918:UES720918 UOH720918:UOO720918 UYD720918:UYK720918 VHZ720918:VIG720918 VRV720918:VSC720918 WBR720918:WBY720918 WLN720918:WLU720918 WVJ720918:WVQ720918 B786454:I786454 IX786454:JE786454 ST786454:TA786454 ACP786454:ACW786454 AML786454:AMS786454 AWH786454:AWO786454 BGD786454:BGK786454 BPZ786454:BQG786454 BZV786454:CAC786454 CJR786454:CJY786454 CTN786454:CTU786454 DDJ786454:DDQ786454 DNF786454:DNM786454 DXB786454:DXI786454 EGX786454:EHE786454 EQT786454:ERA786454 FAP786454:FAW786454 FKL786454:FKS786454 FUH786454:FUO786454 GED786454:GEK786454 GNZ786454:GOG786454 GXV786454:GYC786454 HHR786454:HHY786454 HRN786454:HRU786454 IBJ786454:IBQ786454 ILF786454:ILM786454 IVB786454:IVI786454 JEX786454:JFE786454 JOT786454:JPA786454 JYP786454:JYW786454 KIL786454:KIS786454 KSH786454:KSO786454 LCD786454:LCK786454 LLZ786454:LMG786454 LVV786454:LWC786454 MFR786454:MFY786454 MPN786454:MPU786454 MZJ786454:MZQ786454 NJF786454:NJM786454 NTB786454:NTI786454 OCX786454:ODE786454 OMT786454:ONA786454 OWP786454:OWW786454 PGL786454:PGS786454 PQH786454:PQO786454 QAD786454:QAK786454 QJZ786454:QKG786454 QTV786454:QUC786454 RDR786454:RDY786454 RNN786454:RNU786454 RXJ786454:RXQ786454 SHF786454:SHM786454 SRB786454:SRI786454 TAX786454:TBE786454 TKT786454:TLA786454 TUP786454:TUW786454 UEL786454:UES786454 UOH786454:UOO786454 UYD786454:UYK786454 VHZ786454:VIG786454 VRV786454:VSC786454 WBR786454:WBY786454 WLN786454:WLU786454 WVJ786454:WVQ786454 B851990:I851990 IX851990:JE851990 ST851990:TA851990 ACP851990:ACW851990 AML851990:AMS851990 AWH851990:AWO851990 BGD851990:BGK851990 BPZ851990:BQG851990 BZV851990:CAC851990 CJR851990:CJY851990 CTN851990:CTU851990 DDJ851990:DDQ851990 DNF851990:DNM851990 DXB851990:DXI851990 EGX851990:EHE851990 EQT851990:ERA851990 FAP851990:FAW851990 FKL851990:FKS851990 FUH851990:FUO851990 GED851990:GEK851990 GNZ851990:GOG851990 GXV851990:GYC851990 HHR851990:HHY851990 HRN851990:HRU851990 IBJ851990:IBQ851990 ILF851990:ILM851990 IVB851990:IVI851990 JEX851990:JFE851990 JOT851990:JPA851990 JYP851990:JYW851990 KIL851990:KIS851990 KSH851990:KSO851990 LCD851990:LCK851990 LLZ851990:LMG851990 LVV851990:LWC851990 MFR851990:MFY851990 MPN851990:MPU851990 MZJ851990:MZQ851990 NJF851990:NJM851990 NTB851990:NTI851990 OCX851990:ODE851990 OMT851990:ONA851990 OWP851990:OWW851990 PGL851990:PGS851990 PQH851990:PQO851990 QAD851990:QAK851990 QJZ851990:QKG851990 QTV851990:QUC851990 RDR851990:RDY851990 RNN851990:RNU851990 RXJ851990:RXQ851990 SHF851990:SHM851990 SRB851990:SRI851990 TAX851990:TBE851990 TKT851990:TLA851990 TUP851990:TUW851990 UEL851990:UES851990 UOH851990:UOO851990 UYD851990:UYK851990 VHZ851990:VIG851990 VRV851990:VSC851990 WBR851990:WBY851990 WLN851990:WLU851990 WVJ851990:WVQ851990 B917526:I917526 IX917526:JE917526 ST917526:TA917526 ACP917526:ACW917526 AML917526:AMS917526 AWH917526:AWO917526 BGD917526:BGK917526 BPZ917526:BQG917526 BZV917526:CAC917526 CJR917526:CJY917526 CTN917526:CTU917526 DDJ917526:DDQ917526 DNF917526:DNM917526 DXB917526:DXI917526 EGX917526:EHE917526 EQT917526:ERA917526 FAP917526:FAW917526 FKL917526:FKS917526 FUH917526:FUO917526 GED917526:GEK917526 GNZ917526:GOG917526 GXV917526:GYC917526 HHR917526:HHY917526 HRN917526:HRU917526 IBJ917526:IBQ917526 ILF917526:ILM917526 IVB917526:IVI917526 JEX917526:JFE917526 JOT917526:JPA917526 JYP917526:JYW917526 KIL917526:KIS917526 KSH917526:KSO917526 LCD917526:LCK917526 LLZ917526:LMG917526 LVV917526:LWC917526 MFR917526:MFY917526 MPN917526:MPU917526 MZJ917526:MZQ917526 NJF917526:NJM917526 NTB917526:NTI917526 OCX917526:ODE917526 OMT917526:ONA917526 OWP917526:OWW917526 PGL917526:PGS917526 PQH917526:PQO917526 QAD917526:QAK917526 QJZ917526:QKG917526 QTV917526:QUC917526 RDR917526:RDY917526 RNN917526:RNU917526 RXJ917526:RXQ917526 SHF917526:SHM917526 SRB917526:SRI917526 TAX917526:TBE917526 TKT917526:TLA917526 TUP917526:TUW917526 UEL917526:UES917526 UOH917526:UOO917526 UYD917526:UYK917526 VHZ917526:VIG917526 VRV917526:VSC917526 WBR917526:WBY917526 WLN917526:WLU917526 WVJ917526:WVQ917526 B983062:I983062 IX983062:JE983062 ST983062:TA983062 ACP983062:ACW983062 AML983062:AMS983062 AWH983062:AWO983062 BGD983062:BGK983062 BPZ983062:BQG983062 BZV983062:CAC983062 CJR983062:CJY983062 CTN983062:CTU983062 DDJ983062:DDQ983062 DNF983062:DNM983062 DXB983062:DXI983062 EGX983062:EHE983062 EQT983062:ERA983062 FAP983062:FAW983062 FKL983062:FKS983062 FUH983062:FUO983062 GED983062:GEK983062 GNZ983062:GOG983062 GXV983062:GYC983062 HHR983062:HHY983062 HRN983062:HRU983062 IBJ983062:IBQ983062 ILF983062:ILM983062 IVB983062:IVI983062 JEX983062:JFE983062 JOT983062:JPA983062 JYP983062:JYW983062 KIL983062:KIS983062 KSH983062:KSO983062 LCD983062:LCK983062 LLZ983062:LMG983062 LVV983062:LWC983062 MFR983062:MFY983062 MPN983062:MPU983062 MZJ983062:MZQ983062 NJF983062:NJM983062 NTB983062:NTI983062 OCX983062:ODE983062 OMT983062:ONA983062 OWP983062:OWW983062 PGL983062:PGS983062 PQH983062:PQO983062 QAD983062:QAK983062 QJZ983062:QKG983062 QTV983062:QUC983062 RDR983062:RDY983062 RNN983062:RNU983062 RXJ983062:RXQ983062 SHF983062:SHM983062 SRB983062:SRI983062 TAX983062:TBE983062 TKT983062:TLA983062 TUP983062:TUW983062 UEL983062:UES983062 UOH983062:UOO983062 UYD983062:UYK983062 VHZ983062:VIG983062 VRV983062:VSC983062 WBR983062:WBY983062 WLN983062:WLU983062">
      <formula1>0</formula1>
      <formula2>9</formula2>
    </dataValidation>
  </dataValidations>
  <pageMargins left="0.78740157480314965" right="0.78740157480314965" top="0.43307086614173229" bottom="0.55118110236220474" header="0.35433070866141736" footer="0.51181102362204722"/>
  <pageSetup paperSize="9" scale="9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workbookViewId="0">
      <pane ySplit="5" topLeftCell="A6" activePane="bottomLeft" state="frozen"/>
      <selection pane="bottomLeft" activeCell="M53" sqref="M53"/>
    </sheetView>
  </sheetViews>
  <sheetFormatPr defaultRowHeight="11.25"/>
  <cols>
    <col min="1" max="1" width="68.28515625" style="215" bestFit="1" customWidth="1"/>
    <col min="2" max="2" width="8.7109375" style="215" customWidth="1"/>
    <col min="3" max="3" width="16.5703125" style="215" customWidth="1"/>
    <col min="4" max="4" width="7.85546875" style="215" bestFit="1" customWidth="1"/>
    <col min="5" max="7" width="8.7109375" style="215" bestFit="1" customWidth="1"/>
    <col min="8" max="8" width="9.7109375" style="215" bestFit="1" customWidth="1"/>
    <col min="9" max="9" width="10.140625" style="215" bestFit="1" customWidth="1"/>
    <col min="10" max="18" width="9.28515625" style="215" bestFit="1" customWidth="1"/>
    <col min="19" max="16384" width="9.140625" style="215"/>
  </cols>
  <sheetData>
    <row r="1" spans="1:18">
      <c r="B1" s="363"/>
    </row>
    <row r="2" spans="1:18">
      <c r="N2" s="223">
        <f>SUMIF($N$6:$N$81,N3,$L$6:$L$81)</f>
        <v>671.44999999999993</v>
      </c>
      <c r="O2" s="223">
        <f>SUMIF($N$6:$N$81,O3,$L$6:$L$81)</f>
        <v>0</v>
      </c>
      <c r="P2" s="223">
        <f>SUMIF($N$6:$N$81,P3,$L$6:$L$81)</f>
        <v>7651.98</v>
      </c>
      <c r="Q2" s="223">
        <f>SUMIF($N$6:$N$81,Q3,$L$6:$L$81)</f>
        <v>9243.2800000000007</v>
      </c>
      <c r="R2" s="223">
        <f>SUMIF($N$6:$N$81,R3,$L$6:$L$81)</f>
        <v>5935.0399999999991</v>
      </c>
    </row>
    <row r="3" spans="1:18">
      <c r="A3" s="514" t="s">
        <v>2541</v>
      </c>
      <c r="B3" s="515"/>
      <c r="C3" s="515"/>
      <c r="D3" s="515"/>
      <c r="E3" s="515"/>
      <c r="F3" s="515"/>
      <c r="G3" s="515"/>
      <c r="H3" s="515"/>
      <c r="I3" s="515"/>
      <c r="N3" s="215" t="s">
        <v>1584</v>
      </c>
      <c r="O3" s="215" t="s">
        <v>1786</v>
      </c>
      <c r="P3" s="215" t="s">
        <v>1787</v>
      </c>
      <c r="Q3" s="215" t="s">
        <v>1788</v>
      </c>
      <c r="R3" s="215" t="s">
        <v>1785</v>
      </c>
    </row>
    <row r="4" spans="1:18">
      <c r="A4" s="514" t="s">
        <v>2542</v>
      </c>
      <c r="B4" s="515"/>
      <c r="C4" s="515"/>
      <c r="D4" s="515"/>
      <c r="E4" s="515"/>
      <c r="F4" s="515"/>
      <c r="G4" s="515"/>
      <c r="H4" s="515"/>
      <c r="I4" s="515"/>
      <c r="N4" s="513" t="s">
        <v>1584</v>
      </c>
      <c r="O4" s="513" t="s">
        <v>1585</v>
      </c>
      <c r="P4" s="513" t="s">
        <v>1586</v>
      </c>
      <c r="Q4" s="513" t="s">
        <v>1587</v>
      </c>
      <c r="R4" s="513" t="s">
        <v>1588</v>
      </c>
    </row>
    <row r="5" spans="1:18" s="364" customFormat="1">
      <c r="A5" s="515"/>
      <c r="B5" s="514" t="s">
        <v>2543</v>
      </c>
      <c r="C5" s="514" t="s">
        <v>2544</v>
      </c>
      <c r="D5" s="515"/>
      <c r="E5" s="514" t="s">
        <v>2545</v>
      </c>
      <c r="F5" s="514" t="s">
        <v>2546</v>
      </c>
      <c r="G5" s="514" t="s">
        <v>2547</v>
      </c>
      <c r="H5" s="516" t="s">
        <v>2548</v>
      </c>
      <c r="I5" s="516" t="s">
        <v>2549</v>
      </c>
      <c r="K5" s="364" t="s">
        <v>2633</v>
      </c>
      <c r="L5" s="364" t="s">
        <v>2632</v>
      </c>
      <c r="M5" s="368">
        <v>42004</v>
      </c>
      <c r="N5" s="364" t="s">
        <v>1771</v>
      </c>
    </row>
    <row r="6" spans="1:18">
      <c r="A6" s="514" t="s">
        <v>2550</v>
      </c>
      <c r="B6" s="514">
        <v>201412001</v>
      </c>
      <c r="C6" s="514" t="s">
        <v>2551</v>
      </c>
      <c r="D6" s="515"/>
      <c r="E6" s="514" t="s">
        <v>2552</v>
      </c>
      <c r="F6" s="514" t="s">
        <v>2553</v>
      </c>
      <c r="G6" s="514" t="s">
        <v>1758</v>
      </c>
      <c r="H6" s="516">
        <v>-900</v>
      </c>
      <c r="I6" s="516">
        <v>0</v>
      </c>
      <c r="J6" s="548">
        <f>+H6+I6</f>
        <v>-900</v>
      </c>
      <c r="K6" s="362">
        <v>42013</v>
      </c>
      <c r="L6" s="223">
        <v>-900</v>
      </c>
      <c r="M6" s="369">
        <f t="shared" ref="M6:M21" si="0">+$M$5-K6</f>
        <v>-9</v>
      </c>
      <c r="N6" s="215" t="str">
        <f t="shared" ref="N6:N32" si="1">IF(M6&lt;=0,"v splatnosti",IF(M6&lt;=90,"do 90",IF(M6&lt;=180,"do 180",IF(M6&lt;=365,"do 365","nad 365"))))</f>
        <v>v splatnosti</v>
      </c>
    </row>
    <row r="7" spans="1:18">
      <c r="A7" s="515"/>
      <c r="B7" s="514">
        <v>201412005</v>
      </c>
      <c r="C7" s="514" t="s">
        <v>2554</v>
      </c>
      <c r="D7" s="515"/>
      <c r="E7" s="514" t="s">
        <v>2552</v>
      </c>
      <c r="F7" s="514" t="s">
        <v>2555</v>
      </c>
      <c r="G7" s="514" t="s">
        <v>1758</v>
      </c>
      <c r="H7" s="516">
        <v>1600.12</v>
      </c>
      <c r="I7" s="516">
        <v>0</v>
      </c>
      <c r="J7" s="548">
        <f t="shared" ref="J7:J34" si="2">+H7+I7</f>
        <v>1600.12</v>
      </c>
      <c r="K7" s="362">
        <v>42017</v>
      </c>
      <c r="L7" s="223">
        <v>1600.12</v>
      </c>
      <c r="M7" s="369">
        <f t="shared" si="0"/>
        <v>-13</v>
      </c>
      <c r="N7" s="215" t="str">
        <f t="shared" si="1"/>
        <v>v splatnosti</v>
      </c>
    </row>
    <row r="8" spans="1:18">
      <c r="A8" s="515"/>
      <c r="B8" s="514">
        <v>201412011</v>
      </c>
      <c r="C8" s="514" t="s">
        <v>2556</v>
      </c>
      <c r="D8" s="515"/>
      <c r="E8" s="514" t="s">
        <v>2553</v>
      </c>
      <c r="F8" s="514" t="s">
        <v>2557</v>
      </c>
      <c r="G8" s="514" t="s">
        <v>1758</v>
      </c>
      <c r="H8" s="516">
        <v>-560</v>
      </c>
      <c r="I8" s="516">
        <v>0</v>
      </c>
      <c r="J8" s="548">
        <f t="shared" si="2"/>
        <v>-560</v>
      </c>
      <c r="K8" s="362">
        <v>42027</v>
      </c>
      <c r="L8" s="223">
        <v>-560</v>
      </c>
      <c r="M8" s="369">
        <f t="shared" si="0"/>
        <v>-23</v>
      </c>
      <c r="N8" s="215" t="str">
        <f t="shared" si="1"/>
        <v>v splatnosti</v>
      </c>
    </row>
    <row r="9" spans="1:18">
      <c r="A9" s="514" t="s">
        <v>2558</v>
      </c>
      <c r="B9" s="514">
        <v>201406090</v>
      </c>
      <c r="C9" s="514" t="s">
        <v>1841</v>
      </c>
      <c r="D9" s="515"/>
      <c r="E9" s="514" t="s">
        <v>2559</v>
      </c>
      <c r="F9" s="514" t="s">
        <v>2560</v>
      </c>
      <c r="G9" s="514" t="s">
        <v>2561</v>
      </c>
      <c r="H9" s="516">
        <v>0</v>
      </c>
      <c r="I9" s="516">
        <v>250</v>
      </c>
      <c r="J9" s="223">
        <f t="shared" si="2"/>
        <v>250</v>
      </c>
      <c r="K9" s="362">
        <v>41842</v>
      </c>
      <c r="L9" s="223">
        <v>250</v>
      </c>
      <c r="M9" s="369">
        <f t="shared" si="0"/>
        <v>162</v>
      </c>
      <c r="N9" s="215" t="str">
        <f t="shared" si="1"/>
        <v>do 180</v>
      </c>
    </row>
    <row r="10" spans="1:18">
      <c r="A10" s="514" t="s">
        <v>2562</v>
      </c>
      <c r="B10" s="514">
        <v>201412002</v>
      </c>
      <c r="C10" s="514" t="s">
        <v>2563</v>
      </c>
      <c r="D10" s="515"/>
      <c r="E10" s="514" t="s">
        <v>2552</v>
      </c>
      <c r="F10" s="514" t="s">
        <v>2555</v>
      </c>
      <c r="G10" s="514" t="s">
        <v>1758</v>
      </c>
      <c r="H10" s="516">
        <v>60</v>
      </c>
      <c r="I10" s="516">
        <v>0</v>
      </c>
      <c r="J10" s="548">
        <f t="shared" si="2"/>
        <v>60</v>
      </c>
      <c r="K10" s="362">
        <v>42017</v>
      </c>
      <c r="L10" s="243"/>
      <c r="M10" s="369">
        <f t="shared" si="0"/>
        <v>-13</v>
      </c>
      <c r="N10" s="215" t="str">
        <f t="shared" si="1"/>
        <v>v splatnosti</v>
      </c>
    </row>
    <row r="11" spans="1:18">
      <c r="A11" s="515"/>
      <c r="B11" s="514">
        <v>201412003</v>
      </c>
      <c r="C11" s="514" t="s">
        <v>2564</v>
      </c>
      <c r="D11" s="515"/>
      <c r="E11" s="514" t="s">
        <v>2552</v>
      </c>
      <c r="F11" s="514" t="s">
        <v>2555</v>
      </c>
      <c r="G11" s="514" t="s">
        <v>1758</v>
      </c>
      <c r="H11" s="516">
        <v>55.2</v>
      </c>
      <c r="I11" s="516">
        <v>0</v>
      </c>
      <c r="J11" s="548">
        <f t="shared" si="2"/>
        <v>55.2</v>
      </c>
      <c r="K11" s="362">
        <v>42017</v>
      </c>
      <c r="L11" s="243"/>
      <c r="M11" s="369">
        <f t="shared" si="0"/>
        <v>-13</v>
      </c>
      <c r="N11" s="215" t="str">
        <f t="shared" si="1"/>
        <v>v splatnosti</v>
      </c>
    </row>
    <row r="12" spans="1:18">
      <c r="A12" s="515"/>
      <c r="B12" s="514">
        <v>201412004</v>
      </c>
      <c r="C12" s="514" t="s">
        <v>2554</v>
      </c>
      <c r="D12" s="515"/>
      <c r="E12" s="514" t="s">
        <v>2552</v>
      </c>
      <c r="F12" s="514" t="s">
        <v>2555</v>
      </c>
      <c r="G12" s="514" t="s">
        <v>1758</v>
      </c>
      <c r="H12" s="516">
        <v>69.62</v>
      </c>
      <c r="I12" s="516">
        <v>0</v>
      </c>
      <c r="J12" s="548">
        <f t="shared" si="2"/>
        <v>69.62</v>
      </c>
      <c r="K12" s="362">
        <v>42017</v>
      </c>
      <c r="L12" s="243"/>
      <c r="M12" s="369">
        <f t="shared" si="0"/>
        <v>-13</v>
      </c>
      <c r="N12" s="215" t="str">
        <f t="shared" si="1"/>
        <v>v splatnosti</v>
      </c>
    </row>
    <row r="13" spans="1:18">
      <c r="A13" s="515"/>
      <c r="B13" s="514">
        <v>201412006</v>
      </c>
      <c r="C13" s="514" t="s">
        <v>2565</v>
      </c>
      <c r="D13" s="515"/>
      <c r="E13" s="514" t="s">
        <v>2552</v>
      </c>
      <c r="F13" s="514" t="s">
        <v>2555</v>
      </c>
      <c r="G13" s="514" t="s">
        <v>1758</v>
      </c>
      <c r="H13" s="516">
        <v>-265</v>
      </c>
      <c r="I13" s="516">
        <v>0</v>
      </c>
      <c r="J13" s="548">
        <f t="shared" si="2"/>
        <v>-265</v>
      </c>
      <c r="K13" s="362">
        <v>42017</v>
      </c>
      <c r="L13" s="243"/>
      <c r="M13" s="369">
        <f t="shared" si="0"/>
        <v>-13</v>
      </c>
      <c r="N13" s="215" t="str">
        <f t="shared" si="1"/>
        <v>v splatnosti</v>
      </c>
    </row>
    <row r="14" spans="1:18">
      <c r="A14" s="515"/>
      <c r="B14" s="514">
        <v>201412007</v>
      </c>
      <c r="C14" s="514" t="s">
        <v>2566</v>
      </c>
      <c r="D14" s="515"/>
      <c r="E14" s="514" t="s">
        <v>2552</v>
      </c>
      <c r="F14" s="514" t="s">
        <v>2555</v>
      </c>
      <c r="G14" s="514" t="s">
        <v>1758</v>
      </c>
      <c r="H14" s="516">
        <v>-1020</v>
      </c>
      <c r="I14" s="516">
        <v>0</v>
      </c>
      <c r="J14" s="548">
        <f t="shared" si="2"/>
        <v>-1020</v>
      </c>
      <c r="K14" s="362">
        <v>42017</v>
      </c>
      <c r="L14" s="243"/>
      <c r="M14" s="369">
        <f t="shared" si="0"/>
        <v>-13</v>
      </c>
      <c r="N14" s="215" t="str">
        <f t="shared" si="1"/>
        <v>v splatnosti</v>
      </c>
    </row>
    <row r="15" spans="1:18">
      <c r="A15" s="515"/>
      <c r="B15" s="514">
        <v>201412008</v>
      </c>
      <c r="C15" s="514" t="s">
        <v>2554</v>
      </c>
      <c r="D15" s="515"/>
      <c r="E15" s="514" t="s">
        <v>2552</v>
      </c>
      <c r="F15" s="514" t="s">
        <v>2555</v>
      </c>
      <c r="G15" s="514" t="s">
        <v>1758</v>
      </c>
      <c r="H15" s="516">
        <v>-380</v>
      </c>
      <c r="I15" s="516">
        <v>0</v>
      </c>
      <c r="J15" s="548">
        <f t="shared" si="2"/>
        <v>-380</v>
      </c>
      <c r="K15" s="362">
        <v>42017</v>
      </c>
      <c r="L15" s="243"/>
      <c r="M15" s="369">
        <f t="shared" si="0"/>
        <v>-13</v>
      </c>
      <c r="N15" s="215" t="str">
        <f t="shared" si="1"/>
        <v>v splatnosti</v>
      </c>
    </row>
    <row r="16" spans="1:18">
      <c r="A16" s="515"/>
      <c r="B16" s="514">
        <v>201412009</v>
      </c>
      <c r="C16" s="514" t="s">
        <v>2554</v>
      </c>
      <c r="D16" s="515"/>
      <c r="E16" s="514" t="s">
        <v>2552</v>
      </c>
      <c r="F16" s="514" t="s">
        <v>2555</v>
      </c>
      <c r="G16" s="514" t="s">
        <v>1758</v>
      </c>
      <c r="H16" s="516">
        <v>-865.2</v>
      </c>
      <c r="I16" s="516">
        <v>0</v>
      </c>
      <c r="J16" s="548">
        <f t="shared" si="2"/>
        <v>-865.2</v>
      </c>
      <c r="K16" s="362">
        <v>42017</v>
      </c>
      <c r="L16" s="243"/>
      <c r="M16" s="369">
        <f t="shared" si="0"/>
        <v>-13</v>
      </c>
      <c r="N16" s="215" t="str">
        <f t="shared" si="1"/>
        <v>v splatnosti</v>
      </c>
      <c r="O16" s="223">
        <f>SUM(J10:J16)</f>
        <v>-2345.38</v>
      </c>
      <c r="P16" s="215" t="s">
        <v>2676</v>
      </c>
    </row>
    <row r="17" spans="1:14">
      <c r="A17" s="514" t="s">
        <v>2567</v>
      </c>
      <c r="B17" s="514">
        <v>201406056</v>
      </c>
      <c r="C17" s="514" t="s">
        <v>2568</v>
      </c>
      <c r="D17" s="515"/>
      <c r="E17" s="514" t="s">
        <v>2569</v>
      </c>
      <c r="F17" s="514" t="s">
        <v>2570</v>
      </c>
      <c r="G17" s="514" t="s">
        <v>2561</v>
      </c>
      <c r="H17" s="516">
        <v>0</v>
      </c>
      <c r="I17" s="516">
        <v>1019.75</v>
      </c>
      <c r="J17" s="223">
        <f t="shared" si="2"/>
        <v>1019.75</v>
      </c>
      <c r="K17" s="362">
        <v>41838</v>
      </c>
      <c r="L17" s="223">
        <v>1019.75</v>
      </c>
      <c r="M17" s="369">
        <f t="shared" si="0"/>
        <v>166</v>
      </c>
      <c r="N17" s="215" t="str">
        <f t="shared" si="1"/>
        <v>do 180</v>
      </c>
    </row>
    <row r="18" spans="1:14">
      <c r="A18" s="514" t="s">
        <v>2571</v>
      </c>
      <c r="B18" s="514">
        <v>201406166</v>
      </c>
      <c r="C18" s="514" t="s">
        <v>2572</v>
      </c>
      <c r="D18" s="515"/>
      <c r="E18" s="514" t="s">
        <v>2573</v>
      </c>
      <c r="F18" s="514" t="s">
        <v>2574</v>
      </c>
      <c r="G18" s="514" t="s">
        <v>2561</v>
      </c>
      <c r="H18" s="516">
        <v>0</v>
      </c>
      <c r="I18" s="516">
        <v>45.18</v>
      </c>
      <c r="J18" s="223">
        <f t="shared" si="2"/>
        <v>45.18</v>
      </c>
      <c r="K18" s="362">
        <v>41844</v>
      </c>
      <c r="L18" s="223">
        <v>45.18</v>
      </c>
      <c r="M18" s="369">
        <f t="shared" si="0"/>
        <v>160</v>
      </c>
      <c r="N18" s="215" t="str">
        <f t="shared" si="1"/>
        <v>do 180</v>
      </c>
    </row>
    <row r="19" spans="1:14">
      <c r="A19" s="514" t="s">
        <v>2575</v>
      </c>
      <c r="B19" s="514">
        <v>201404003</v>
      </c>
      <c r="C19" s="514" t="s">
        <v>2576</v>
      </c>
      <c r="D19" s="515"/>
      <c r="E19" s="514" t="s">
        <v>2577</v>
      </c>
      <c r="F19" s="514" t="s">
        <v>2578</v>
      </c>
      <c r="G19" s="514" t="s">
        <v>2579</v>
      </c>
      <c r="H19" s="516">
        <v>0</v>
      </c>
      <c r="I19" s="516">
        <v>100</v>
      </c>
      <c r="J19" s="223">
        <f t="shared" si="2"/>
        <v>100</v>
      </c>
      <c r="K19" s="362">
        <v>41759</v>
      </c>
      <c r="L19" s="223">
        <v>100</v>
      </c>
      <c r="M19" s="369">
        <f t="shared" si="0"/>
        <v>245</v>
      </c>
      <c r="N19" s="215" t="str">
        <f>IF(M19&lt;=0,"v splatnosti",IF(M19&lt;=90,"do 90",IF(M19&lt;=180,"do 180",IF(M19&lt;=365,"do 365","nad 365"))))</f>
        <v>do 365</v>
      </c>
    </row>
    <row r="20" spans="1:14">
      <c r="A20" s="515"/>
      <c r="B20" s="514">
        <v>201406019</v>
      </c>
      <c r="C20" s="514" t="s">
        <v>2580</v>
      </c>
      <c r="D20" s="515"/>
      <c r="E20" s="514" t="s">
        <v>2581</v>
      </c>
      <c r="F20" s="514" t="s">
        <v>2582</v>
      </c>
      <c r="G20" s="514" t="s">
        <v>2561</v>
      </c>
      <c r="H20" s="516">
        <v>0</v>
      </c>
      <c r="I20" s="516">
        <v>459.13</v>
      </c>
      <c r="J20" s="223">
        <f t="shared" si="2"/>
        <v>459.13</v>
      </c>
      <c r="K20" s="362">
        <v>41834</v>
      </c>
      <c r="L20" s="223">
        <v>459.13</v>
      </c>
      <c r="M20" s="369">
        <f t="shared" si="0"/>
        <v>170</v>
      </c>
      <c r="N20" s="215" t="str">
        <f t="shared" si="1"/>
        <v>do 180</v>
      </c>
    </row>
    <row r="21" spans="1:14">
      <c r="A21" s="514" t="s">
        <v>2583</v>
      </c>
      <c r="B21" s="514">
        <v>201203106</v>
      </c>
      <c r="C21" s="514" t="s">
        <v>2580</v>
      </c>
      <c r="D21" s="515"/>
      <c r="E21" s="514" t="s">
        <v>2584</v>
      </c>
      <c r="F21" s="514" t="s">
        <v>2585</v>
      </c>
      <c r="G21" s="514" t="s">
        <v>2586</v>
      </c>
      <c r="H21" s="516">
        <v>0</v>
      </c>
      <c r="I21" s="516">
        <v>1596.58</v>
      </c>
      <c r="J21" s="223">
        <f t="shared" si="2"/>
        <v>1596.58</v>
      </c>
      <c r="K21" s="362">
        <v>41013</v>
      </c>
      <c r="L21" s="521">
        <v>1596.58</v>
      </c>
      <c r="M21" s="369">
        <f t="shared" si="0"/>
        <v>991</v>
      </c>
      <c r="N21" s="215" t="str">
        <f t="shared" si="1"/>
        <v>nad 365</v>
      </c>
    </row>
    <row r="22" spans="1:14">
      <c r="A22" s="515"/>
      <c r="B22" s="514">
        <v>201207091</v>
      </c>
      <c r="C22" s="514" t="s">
        <v>1841</v>
      </c>
      <c r="D22" s="515"/>
      <c r="E22" s="514" t="s">
        <v>2587</v>
      </c>
      <c r="F22" s="514" t="s">
        <v>2588</v>
      </c>
      <c r="G22" s="514" t="s">
        <v>2589</v>
      </c>
      <c r="H22" s="516">
        <v>0</v>
      </c>
      <c r="I22" s="516">
        <v>632.20000000000005</v>
      </c>
      <c r="J22" s="223">
        <f t="shared" si="2"/>
        <v>632.20000000000005</v>
      </c>
      <c r="K22" s="362">
        <v>41144</v>
      </c>
      <c r="L22" s="521">
        <v>632.20000000000005</v>
      </c>
      <c r="M22" s="369">
        <f t="shared" ref="M22:M34" si="3">+$M$5-K22</f>
        <v>860</v>
      </c>
      <c r="N22" s="215" t="str">
        <f t="shared" si="1"/>
        <v>nad 365</v>
      </c>
    </row>
    <row r="23" spans="1:14">
      <c r="A23" s="515"/>
      <c r="B23" s="514">
        <v>201209029</v>
      </c>
      <c r="C23" s="514" t="s">
        <v>2580</v>
      </c>
      <c r="D23" s="515"/>
      <c r="E23" s="514" t="s">
        <v>2590</v>
      </c>
      <c r="F23" s="514" t="s">
        <v>2591</v>
      </c>
      <c r="G23" s="514" t="s">
        <v>2592</v>
      </c>
      <c r="H23" s="516">
        <v>0</v>
      </c>
      <c r="I23" s="516">
        <v>632.20000000000005</v>
      </c>
      <c r="J23" s="223">
        <f t="shared" si="2"/>
        <v>632.20000000000005</v>
      </c>
      <c r="K23" s="362">
        <v>41198</v>
      </c>
      <c r="L23" s="521">
        <v>632.20000000000005</v>
      </c>
      <c r="M23" s="369">
        <f t="shared" si="3"/>
        <v>806</v>
      </c>
      <c r="N23" s="215" t="str">
        <f t="shared" si="1"/>
        <v>nad 365</v>
      </c>
    </row>
    <row r="24" spans="1:14">
      <c r="A24" s="515"/>
      <c r="B24" s="514">
        <v>201210015</v>
      </c>
      <c r="C24" s="514" t="s">
        <v>2580</v>
      </c>
      <c r="D24" s="515"/>
      <c r="E24" s="514" t="s">
        <v>2593</v>
      </c>
      <c r="F24" s="514" t="s">
        <v>2594</v>
      </c>
      <c r="G24" s="514" t="s">
        <v>2595</v>
      </c>
      <c r="H24" s="516">
        <v>0</v>
      </c>
      <c r="I24" s="516">
        <v>632.20000000000005</v>
      </c>
      <c r="J24" s="223">
        <f t="shared" si="2"/>
        <v>632.20000000000005</v>
      </c>
      <c r="K24" s="362">
        <v>41227</v>
      </c>
      <c r="L24" s="521">
        <v>632.20000000000005</v>
      </c>
      <c r="M24" s="369">
        <f t="shared" si="3"/>
        <v>777</v>
      </c>
      <c r="N24" s="215" t="str">
        <f t="shared" si="1"/>
        <v>nad 365</v>
      </c>
    </row>
    <row r="25" spans="1:14">
      <c r="A25" s="515"/>
      <c r="B25" s="514">
        <v>201211016</v>
      </c>
      <c r="C25" s="514" t="s">
        <v>1841</v>
      </c>
      <c r="D25" s="515"/>
      <c r="E25" s="514" t="s">
        <v>2596</v>
      </c>
      <c r="F25" s="514" t="s">
        <v>2597</v>
      </c>
      <c r="G25" s="514" t="s">
        <v>2598</v>
      </c>
      <c r="H25" s="516">
        <v>0</v>
      </c>
      <c r="I25" s="516">
        <v>632.20000000000005</v>
      </c>
      <c r="J25" s="223">
        <f t="shared" si="2"/>
        <v>632.20000000000005</v>
      </c>
      <c r="K25" s="362">
        <v>41260</v>
      </c>
      <c r="L25" s="521">
        <v>632.20000000000005</v>
      </c>
      <c r="M25" s="369">
        <f t="shared" si="3"/>
        <v>744</v>
      </c>
      <c r="N25" s="215" t="str">
        <f t="shared" si="1"/>
        <v>nad 365</v>
      </c>
    </row>
    <row r="26" spans="1:14">
      <c r="A26" s="515"/>
      <c r="B26" s="514">
        <v>201212109</v>
      </c>
      <c r="C26" s="514" t="s">
        <v>2580</v>
      </c>
      <c r="D26" s="515"/>
      <c r="E26" s="514" t="s">
        <v>2599</v>
      </c>
      <c r="F26" s="514" t="s">
        <v>2600</v>
      </c>
      <c r="G26" s="514" t="s">
        <v>2601</v>
      </c>
      <c r="H26" s="516">
        <v>0</v>
      </c>
      <c r="I26" s="516">
        <v>632.20000000000005</v>
      </c>
      <c r="J26" s="223">
        <f t="shared" si="2"/>
        <v>632.20000000000005</v>
      </c>
      <c r="K26" s="362">
        <v>41288</v>
      </c>
      <c r="L26" s="521">
        <v>632.20000000000005</v>
      </c>
      <c r="M26" s="369">
        <f t="shared" si="3"/>
        <v>716</v>
      </c>
      <c r="N26" s="215" t="str">
        <f t="shared" si="1"/>
        <v>nad 365</v>
      </c>
    </row>
    <row r="27" spans="1:14">
      <c r="A27" s="515"/>
      <c r="B27" s="514">
        <v>201301043</v>
      </c>
      <c r="C27" s="514" t="s">
        <v>2580</v>
      </c>
      <c r="D27" s="515"/>
      <c r="E27" s="514" t="s">
        <v>2602</v>
      </c>
      <c r="F27" s="514" t="s">
        <v>2603</v>
      </c>
      <c r="G27" s="514" t="s">
        <v>2604</v>
      </c>
      <c r="H27" s="516">
        <v>0</v>
      </c>
      <c r="I27" s="516">
        <v>632.20000000000005</v>
      </c>
      <c r="J27" s="223">
        <f t="shared" si="2"/>
        <v>632.20000000000005</v>
      </c>
      <c r="K27" s="362">
        <v>41326</v>
      </c>
      <c r="L27" s="521">
        <v>632.20000000000005</v>
      </c>
      <c r="M27" s="369">
        <f t="shared" si="3"/>
        <v>678</v>
      </c>
      <c r="N27" s="215" t="str">
        <f t="shared" si="1"/>
        <v>nad 365</v>
      </c>
    </row>
    <row r="28" spans="1:14">
      <c r="A28" s="515"/>
      <c r="B28" s="514">
        <v>201302017</v>
      </c>
      <c r="C28" s="514" t="s">
        <v>2580</v>
      </c>
      <c r="D28" s="515"/>
      <c r="E28" s="514" t="s">
        <v>2605</v>
      </c>
      <c r="F28" s="514" t="s">
        <v>2606</v>
      </c>
      <c r="G28" s="514" t="s">
        <v>2607</v>
      </c>
      <c r="H28" s="516">
        <v>0</v>
      </c>
      <c r="I28" s="516">
        <v>425.26</v>
      </c>
      <c r="J28" s="223">
        <f t="shared" si="2"/>
        <v>425.26</v>
      </c>
      <c r="K28" s="362">
        <v>41352</v>
      </c>
      <c r="L28" s="521">
        <v>425.26</v>
      </c>
      <c r="M28" s="369">
        <f t="shared" si="3"/>
        <v>652</v>
      </c>
      <c r="N28" s="215" t="str">
        <f t="shared" si="1"/>
        <v>nad 365</v>
      </c>
    </row>
    <row r="29" spans="1:14">
      <c r="A29" s="514" t="s">
        <v>2608</v>
      </c>
      <c r="B29" s="514">
        <v>201304068</v>
      </c>
      <c r="C29" s="514" t="s">
        <v>2609</v>
      </c>
      <c r="D29" s="515"/>
      <c r="E29" s="514" t="s">
        <v>2610</v>
      </c>
      <c r="F29" s="514" t="s">
        <v>2611</v>
      </c>
      <c r="G29" s="514" t="s">
        <v>2612</v>
      </c>
      <c r="H29" s="516">
        <v>0</v>
      </c>
      <c r="I29" s="516">
        <v>120</v>
      </c>
      <c r="J29" s="223">
        <f t="shared" si="2"/>
        <v>120</v>
      </c>
      <c r="K29" s="362">
        <v>41415</v>
      </c>
      <c r="L29" s="223">
        <v>120</v>
      </c>
      <c r="M29" s="369">
        <f t="shared" si="3"/>
        <v>589</v>
      </c>
      <c r="N29" s="215" t="str">
        <f t="shared" si="1"/>
        <v>nad 365</v>
      </c>
    </row>
    <row r="30" spans="1:14">
      <c r="A30" s="514" t="s">
        <v>2613</v>
      </c>
      <c r="B30" s="514">
        <v>201412010</v>
      </c>
      <c r="C30" s="514" t="s">
        <v>2614</v>
      </c>
      <c r="D30" s="515"/>
      <c r="E30" s="514" t="s">
        <v>2615</v>
      </c>
      <c r="F30" s="514" t="s">
        <v>2616</v>
      </c>
      <c r="G30" s="514" t="s">
        <v>1758</v>
      </c>
      <c r="H30" s="516">
        <v>482.68</v>
      </c>
      <c r="I30" s="516">
        <v>0</v>
      </c>
      <c r="J30" s="549">
        <f t="shared" si="2"/>
        <v>482.68</v>
      </c>
      <c r="K30" s="362">
        <v>42025</v>
      </c>
      <c r="L30" s="223">
        <v>482.68</v>
      </c>
      <c r="M30" s="369">
        <f t="shared" si="3"/>
        <v>-21</v>
      </c>
      <c r="N30" s="215" t="str">
        <f t="shared" si="1"/>
        <v>v splatnosti</v>
      </c>
    </row>
    <row r="31" spans="1:14">
      <c r="A31" s="515"/>
      <c r="B31" s="514">
        <v>201412012</v>
      </c>
      <c r="C31" s="514" t="s">
        <v>2617</v>
      </c>
      <c r="D31" s="515"/>
      <c r="E31" s="514" t="s">
        <v>2618</v>
      </c>
      <c r="F31" s="514" t="s">
        <v>2619</v>
      </c>
      <c r="G31" s="514" t="s">
        <v>1758</v>
      </c>
      <c r="H31" s="516">
        <v>48.65</v>
      </c>
      <c r="I31" s="516">
        <v>0</v>
      </c>
      <c r="J31" s="549">
        <f t="shared" si="2"/>
        <v>48.65</v>
      </c>
      <c r="K31" s="362">
        <v>42030</v>
      </c>
      <c r="L31" s="223">
        <v>48.65</v>
      </c>
      <c r="M31" s="369">
        <f t="shared" si="3"/>
        <v>-26</v>
      </c>
      <c r="N31" s="215" t="str">
        <f t="shared" si="1"/>
        <v>v splatnosti</v>
      </c>
    </row>
    <row r="32" spans="1:14">
      <c r="A32" s="514" t="s">
        <v>2620</v>
      </c>
      <c r="B32" s="514">
        <v>201402056</v>
      </c>
      <c r="C32" s="514" t="s">
        <v>2621</v>
      </c>
      <c r="D32" s="515"/>
      <c r="E32" s="514" t="s">
        <v>2622</v>
      </c>
      <c r="F32" s="514" t="s">
        <v>2623</v>
      </c>
      <c r="G32" s="514" t="s">
        <v>2624</v>
      </c>
      <c r="H32" s="516">
        <v>0</v>
      </c>
      <c r="I32" s="516">
        <v>3907.52</v>
      </c>
      <c r="J32" s="223">
        <f t="shared" si="2"/>
        <v>3907.52</v>
      </c>
      <c r="K32" s="362">
        <v>41718</v>
      </c>
      <c r="L32" s="223">
        <v>3907.52</v>
      </c>
      <c r="M32" s="369">
        <f t="shared" si="3"/>
        <v>286</v>
      </c>
      <c r="N32" s="215" t="str">
        <f t="shared" si="1"/>
        <v>do 365</v>
      </c>
    </row>
    <row r="33" spans="1:14">
      <c r="A33" s="515"/>
      <c r="B33" s="514">
        <v>201403089</v>
      </c>
      <c r="C33" s="514" t="s">
        <v>2625</v>
      </c>
      <c r="D33" s="515"/>
      <c r="E33" s="514" t="s">
        <v>2626</v>
      </c>
      <c r="F33" s="514" t="s">
        <v>2627</v>
      </c>
      <c r="G33" s="514" t="s">
        <v>2628</v>
      </c>
      <c r="H33" s="516">
        <v>0</v>
      </c>
      <c r="I33" s="516">
        <v>5235.76</v>
      </c>
      <c r="J33" s="223">
        <f t="shared" si="2"/>
        <v>5235.76</v>
      </c>
      <c r="K33" s="362">
        <v>41747</v>
      </c>
      <c r="L33" s="223">
        <v>5235.76</v>
      </c>
      <c r="M33" s="369">
        <f t="shared" si="3"/>
        <v>257</v>
      </c>
      <c r="N33" s="215" t="str">
        <f>IF(M33&lt;=0,"v splatnosti",IF(M33&lt;=90,"do 90",IF(M33&lt;=180,"do 180",IF(M33&lt;=365,"do 365","nad 365"))))</f>
        <v>do 365</v>
      </c>
    </row>
    <row r="34" spans="1:14">
      <c r="A34" s="515"/>
      <c r="B34" s="514">
        <v>201406052</v>
      </c>
      <c r="C34" s="514" t="s">
        <v>2568</v>
      </c>
      <c r="D34" s="515"/>
      <c r="E34" s="514" t="s">
        <v>2569</v>
      </c>
      <c r="F34" s="514" t="s">
        <v>2570</v>
      </c>
      <c r="G34" s="514" t="s">
        <v>2561</v>
      </c>
      <c r="H34" s="516">
        <v>0</v>
      </c>
      <c r="I34" s="516">
        <v>5877.92</v>
      </c>
      <c r="J34" s="223">
        <f t="shared" si="2"/>
        <v>5877.92</v>
      </c>
      <c r="K34" s="362">
        <v>41838</v>
      </c>
      <c r="L34" s="223">
        <v>5877.92</v>
      </c>
      <c r="M34" s="369">
        <f t="shared" si="3"/>
        <v>166</v>
      </c>
      <c r="N34" s="215" t="str">
        <f>IF(M34&lt;=0,"v splatnosti",IF(M34&lt;=90,"do 90",IF(M34&lt;=180,"do 180",IF(M34&lt;=365,"do 365","nad 365"))))</f>
        <v>do 180</v>
      </c>
    </row>
    <row r="35" spans="1:14">
      <c r="A35" s="517" t="s">
        <v>2629</v>
      </c>
      <c r="B35" s="518"/>
      <c r="C35" s="518"/>
      <c r="D35" s="519">
        <v>21156.37</v>
      </c>
      <c r="E35" s="518"/>
      <c r="F35" s="518"/>
      <c r="G35" s="518"/>
      <c r="H35" s="519">
        <v>-1673.93</v>
      </c>
      <c r="I35" s="519">
        <v>22830.3</v>
      </c>
      <c r="J35" s="223"/>
      <c r="K35" s="223"/>
      <c r="L35" s="223"/>
      <c r="M35" s="369"/>
    </row>
    <row r="36" spans="1:14">
      <c r="E36" s="362"/>
      <c r="F36" s="362"/>
      <c r="G36" s="362"/>
      <c r="H36" s="362"/>
      <c r="J36" s="223"/>
      <c r="K36" s="223"/>
      <c r="L36" s="223"/>
      <c r="M36" s="369"/>
    </row>
    <row r="37" spans="1:14">
      <c r="A37" s="515"/>
      <c r="B37" s="515"/>
      <c r="C37" s="515" t="s">
        <v>2630</v>
      </c>
      <c r="D37" s="520">
        <v>20625.04</v>
      </c>
      <c r="E37" s="515"/>
      <c r="F37" s="515"/>
      <c r="G37" s="515"/>
      <c r="H37" s="515"/>
      <c r="I37" s="515"/>
      <c r="J37" s="223"/>
      <c r="K37" s="223"/>
      <c r="L37" s="223"/>
      <c r="M37" s="369"/>
    </row>
    <row r="38" spans="1:14">
      <c r="A38" s="515"/>
      <c r="B38" s="515"/>
      <c r="C38" s="515" t="s">
        <v>2631</v>
      </c>
      <c r="D38" s="520">
        <v>531.33000000000004</v>
      </c>
      <c r="E38" s="515"/>
      <c r="F38" s="515"/>
      <c r="G38" s="515"/>
      <c r="H38" s="515"/>
      <c r="I38" s="515"/>
      <c r="J38" s="223"/>
      <c r="K38" s="223"/>
      <c r="L38" s="223"/>
      <c r="M38" s="369"/>
    </row>
    <row r="39" spans="1:14">
      <c r="E39" s="362"/>
      <c r="F39" s="362"/>
      <c r="G39" s="362"/>
      <c r="H39" s="362"/>
      <c r="J39" s="223"/>
      <c r="K39" s="223"/>
      <c r="L39" s="223"/>
      <c r="M39" s="369"/>
    </row>
    <row r="40" spans="1:14">
      <c r="C40" s="215" t="s">
        <v>2683</v>
      </c>
      <c r="D40" s="223">
        <f>+'zdroj HK'!G30</f>
        <v>10128.98</v>
      </c>
      <c r="E40" s="223">
        <f>+D40-R2</f>
        <v>4193.9400000000005</v>
      </c>
      <c r="F40" s="362"/>
      <c r="G40" s="362"/>
      <c r="H40" s="362"/>
      <c r="J40" s="223"/>
      <c r="K40" s="223"/>
      <c r="L40" s="223"/>
      <c r="M40" s="369"/>
    </row>
    <row r="41" spans="1:14">
      <c r="C41" s="215" t="s">
        <v>1598</v>
      </c>
      <c r="D41" s="223">
        <f>+'zdroj HK'!G31</f>
        <v>-2205.2600000000002</v>
      </c>
      <c r="E41" s="362"/>
      <c r="F41" s="362"/>
      <c r="G41" s="362"/>
      <c r="H41" s="362"/>
      <c r="J41" s="223"/>
      <c r="K41" s="223"/>
      <c r="L41" s="223"/>
      <c r="M41" s="369"/>
    </row>
    <row r="42" spans="1:14">
      <c r="D42" s="223">
        <f>+'zdroj HK'!G34</f>
        <v>531.33000000000004</v>
      </c>
      <c r="E42" s="362"/>
      <c r="F42" s="362"/>
      <c r="G42" s="362"/>
      <c r="H42" s="362"/>
      <c r="J42" s="223"/>
      <c r="K42" s="223"/>
      <c r="L42" s="223"/>
      <c r="M42" s="369"/>
    </row>
    <row r="43" spans="1:14">
      <c r="E43" s="362"/>
      <c r="F43" s="362"/>
      <c r="G43" s="362"/>
      <c r="H43" s="362"/>
      <c r="J43" s="223"/>
      <c r="K43" s="223"/>
      <c r="L43" s="223"/>
      <c r="M43" s="369"/>
    </row>
    <row r="44" spans="1:14">
      <c r="E44" s="362"/>
      <c r="F44" s="362"/>
      <c r="G44" s="362"/>
      <c r="H44" s="362"/>
      <c r="J44" s="223"/>
      <c r="K44" s="223"/>
      <c r="L44" s="223"/>
      <c r="M44" s="369"/>
    </row>
    <row r="45" spans="1:14">
      <c r="E45" s="362"/>
      <c r="F45" s="362"/>
      <c r="G45" s="362"/>
      <c r="H45" s="362"/>
      <c r="J45" s="223"/>
      <c r="K45" s="223"/>
      <c r="L45" s="223"/>
      <c r="M45" s="369"/>
    </row>
    <row r="46" spans="1:14">
      <c r="E46" s="362"/>
      <c r="F46" s="362"/>
      <c r="G46" s="362"/>
      <c r="H46" s="362"/>
      <c r="J46" s="223"/>
      <c r="K46" s="223"/>
      <c r="L46" s="223"/>
      <c r="M46" s="369"/>
    </row>
    <row r="47" spans="1:14">
      <c r="E47" s="362"/>
      <c r="F47" s="362"/>
      <c r="G47" s="362"/>
      <c r="H47" s="362"/>
      <c r="J47" s="223"/>
      <c r="K47" s="223"/>
      <c r="L47" s="223"/>
      <c r="M47" s="369"/>
    </row>
    <row r="48" spans="1:14">
      <c r="E48" s="362"/>
      <c r="F48" s="362"/>
      <c r="G48" s="362"/>
      <c r="H48" s="362"/>
      <c r="J48" s="223"/>
      <c r="K48" s="223"/>
      <c r="L48" s="223"/>
      <c r="M48" s="369"/>
    </row>
    <row r="49" spans="5:13">
      <c r="E49" s="362"/>
      <c r="F49" s="362"/>
      <c r="G49" s="362"/>
      <c r="H49" s="362"/>
      <c r="J49" s="223"/>
      <c r="K49" s="223"/>
      <c r="L49" s="223"/>
      <c r="M49" s="369"/>
    </row>
    <row r="50" spans="5:13">
      <c r="E50" s="362"/>
      <c r="F50" s="362"/>
      <c r="G50" s="362"/>
      <c r="H50" s="362"/>
      <c r="J50" s="223"/>
      <c r="K50" s="223"/>
      <c r="L50" s="223"/>
      <c r="M50" s="369"/>
    </row>
    <row r="51" spans="5:13">
      <c r="E51" s="362"/>
      <c r="F51" s="362"/>
      <c r="G51" s="362"/>
      <c r="H51" s="362"/>
      <c r="J51" s="223"/>
      <c r="K51" s="223"/>
      <c r="L51" s="223"/>
      <c r="M51" s="369"/>
    </row>
    <row r="52" spans="5:13">
      <c r="E52" s="362"/>
      <c r="F52" s="362"/>
      <c r="G52" s="362"/>
      <c r="H52" s="362"/>
      <c r="J52" s="223"/>
      <c r="K52" s="223"/>
      <c r="L52" s="223"/>
      <c r="M52" s="369"/>
    </row>
    <row r="53" spans="5:13">
      <c r="E53" s="362"/>
      <c r="F53" s="362"/>
      <c r="G53" s="362"/>
      <c r="H53" s="362"/>
      <c r="J53" s="223"/>
      <c r="K53" s="223"/>
      <c r="L53" s="223"/>
      <c r="M53" s="369"/>
    </row>
    <row r="54" spans="5:13">
      <c r="E54" s="362"/>
      <c r="F54" s="362"/>
      <c r="G54" s="362"/>
      <c r="H54" s="362"/>
      <c r="J54" s="223"/>
      <c r="K54" s="223"/>
      <c r="L54" s="223"/>
      <c r="M54" s="369"/>
    </row>
    <row r="55" spans="5:13">
      <c r="E55" s="362"/>
      <c r="F55" s="362"/>
      <c r="G55" s="362"/>
      <c r="H55" s="362"/>
      <c r="J55" s="223"/>
      <c r="K55" s="223"/>
      <c r="L55" s="223"/>
      <c r="M55" s="369"/>
    </row>
    <row r="56" spans="5:13">
      <c r="E56" s="362"/>
      <c r="F56" s="362"/>
      <c r="G56" s="362"/>
      <c r="H56" s="362"/>
      <c r="J56" s="223"/>
      <c r="K56" s="223"/>
      <c r="L56" s="223"/>
      <c r="M56" s="369"/>
    </row>
    <row r="57" spans="5:13">
      <c r="E57" s="362"/>
      <c r="F57" s="362"/>
      <c r="G57" s="362"/>
      <c r="H57" s="362"/>
      <c r="J57" s="223"/>
      <c r="K57" s="223"/>
      <c r="L57" s="223"/>
      <c r="M57" s="369"/>
    </row>
    <row r="58" spans="5:13">
      <c r="E58" s="362"/>
      <c r="F58" s="362"/>
      <c r="G58" s="362"/>
      <c r="H58" s="362"/>
      <c r="J58" s="223"/>
      <c r="K58" s="223"/>
      <c r="L58" s="223"/>
      <c r="M58" s="369"/>
    </row>
    <row r="59" spans="5:13">
      <c r="E59" s="362"/>
      <c r="F59" s="362"/>
      <c r="G59" s="362"/>
      <c r="H59" s="362"/>
      <c r="J59" s="223"/>
      <c r="K59" s="223"/>
      <c r="L59" s="223"/>
      <c r="M59" s="369"/>
    </row>
    <row r="60" spans="5:13">
      <c r="E60" s="362"/>
      <c r="F60" s="362"/>
      <c r="G60" s="362"/>
      <c r="H60" s="362"/>
      <c r="J60" s="223"/>
      <c r="K60" s="223"/>
      <c r="L60" s="223"/>
      <c r="M60" s="369"/>
    </row>
    <row r="61" spans="5:13">
      <c r="E61" s="362"/>
      <c r="F61" s="362"/>
      <c r="G61" s="362"/>
      <c r="H61" s="362"/>
      <c r="J61" s="223"/>
      <c r="K61" s="223"/>
      <c r="L61" s="223"/>
      <c r="M61" s="369"/>
    </row>
    <row r="62" spans="5:13">
      <c r="E62" s="362"/>
      <c r="F62" s="362"/>
      <c r="G62" s="362"/>
      <c r="H62" s="362"/>
      <c r="J62" s="223"/>
      <c r="K62" s="223"/>
      <c r="L62" s="223"/>
      <c r="M62" s="369"/>
    </row>
    <row r="63" spans="5:13">
      <c r="E63" s="362"/>
      <c r="F63" s="362"/>
      <c r="G63" s="362"/>
      <c r="H63" s="362"/>
      <c r="J63" s="223"/>
      <c r="K63" s="223"/>
      <c r="L63" s="223"/>
      <c r="M63" s="369"/>
    </row>
    <row r="64" spans="5:13">
      <c r="E64" s="362"/>
      <c r="F64" s="362"/>
      <c r="G64" s="362"/>
      <c r="H64" s="362"/>
      <c r="J64" s="223"/>
      <c r="K64" s="223"/>
      <c r="L64" s="223"/>
      <c r="M64" s="369"/>
    </row>
    <row r="65" spans="5:13">
      <c r="E65" s="362"/>
      <c r="F65" s="362"/>
      <c r="G65" s="362"/>
      <c r="H65" s="362"/>
      <c r="J65" s="223"/>
      <c r="K65" s="223"/>
      <c r="L65" s="223"/>
      <c r="M65" s="369"/>
    </row>
    <row r="66" spans="5:13">
      <c r="E66" s="362"/>
      <c r="F66" s="362"/>
      <c r="G66" s="362"/>
      <c r="H66" s="362"/>
      <c r="J66" s="223"/>
      <c r="K66" s="223"/>
      <c r="L66" s="223"/>
      <c r="M66" s="369"/>
    </row>
    <row r="67" spans="5:13">
      <c r="E67" s="362"/>
      <c r="F67" s="362"/>
      <c r="G67" s="362"/>
      <c r="H67" s="362"/>
      <c r="J67" s="223"/>
      <c r="K67" s="223"/>
      <c r="L67" s="223"/>
      <c r="M67" s="369"/>
    </row>
    <row r="68" spans="5:13">
      <c r="E68" s="362"/>
      <c r="F68" s="362"/>
      <c r="G68" s="362"/>
      <c r="H68" s="362"/>
      <c r="J68" s="223"/>
      <c r="K68" s="223"/>
      <c r="L68" s="223"/>
      <c r="M68" s="369"/>
    </row>
    <row r="69" spans="5:13">
      <c r="E69" s="362"/>
      <c r="F69" s="362"/>
      <c r="G69" s="362"/>
      <c r="H69" s="362"/>
      <c r="J69" s="223"/>
      <c r="K69" s="223"/>
      <c r="L69" s="223"/>
      <c r="M69" s="369"/>
    </row>
    <row r="70" spans="5:13">
      <c r="E70" s="362"/>
      <c r="F70" s="362"/>
      <c r="G70" s="362"/>
      <c r="H70" s="362"/>
      <c r="J70" s="223"/>
      <c r="K70" s="223"/>
      <c r="L70" s="223"/>
      <c r="M70" s="369"/>
    </row>
    <row r="71" spans="5:13">
      <c r="E71" s="362"/>
      <c r="F71" s="362"/>
      <c r="G71" s="362"/>
      <c r="H71" s="362"/>
      <c r="J71" s="223"/>
      <c r="K71" s="223"/>
      <c r="L71" s="223"/>
      <c r="M71" s="369"/>
    </row>
    <row r="72" spans="5:13">
      <c r="E72" s="362"/>
      <c r="F72" s="362"/>
      <c r="G72" s="362"/>
      <c r="H72" s="362"/>
      <c r="J72" s="223"/>
      <c r="K72" s="223"/>
      <c r="L72" s="223"/>
      <c r="M72" s="369"/>
    </row>
    <row r="73" spans="5:13">
      <c r="E73" s="362"/>
      <c r="F73" s="362"/>
      <c r="G73" s="362"/>
      <c r="H73" s="362"/>
      <c r="J73" s="223"/>
      <c r="K73" s="223"/>
      <c r="L73" s="223"/>
      <c r="M73" s="369"/>
    </row>
    <row r="74" spans="5:13">
      <c r="E74" s="362"/>
      <c r="F74" s="362"/>
      <c r="G74" s="362"/>
      <c r="H74" s="362"/>
      <c r="J74" s="223"/>
      <c r="K74" s="223"/>
      <c r="L74" s="223"/>
      <c r="M74" s="369"/>
    </row>
    <row r="75" spans="5:13">
      <c r="E75" s="362"/>
      <c r="F75" s="362"/>
      <c r="G75" s="362"/>
      <c r="H75" s="362"/>
      <c r="J75" s="223"/>
      <c r="K75" s="223"/>
      <c r="L75" s="223"/>
      <c r="M75" s="369"/>
    </row>
    <row r="76" spans="5:13">
      <c r="E76" s="362"/>
      <c r="F76" s="362"/>
      <c r="G76" s="362"/>
      <c r="H76" s="362"/>
      <c r="J76" s="223"/>
      <c r="K76" s="223"/>
      <c r="L76" s="223"/>
      <c r="M76" s="369"/>
    </row>
    <row r="77" spans="5:13">
      <c r="E77" s="362"/>
      <c r="F77" s="362"/>
      <c r="G77" s="362"/>
      <c r="H77" s="362"/>
      <c r="J77" s="223"/>
      <c r="K77" s="223"/>
      <c r="L77" s="223"/>
      <c r="M77" s="369"/>
    </row>
    <row r="78" spans="5:13">
      <c r="E78" s="362"/>
      <c r="F78" s="362"/>
      <c r="G78" s="362"/>
      <c r="H78" s="362"/>
      <c r="J78" s="223"/>
      <c r="K78" s="223"/>
      <c r="L78" s="223"/>
      <c r="M78" s="369"/>
    </row>
    <row r="79" spans="5:13">
      <c r="E79" s="362"/>
      <c r="F79" s="362"/>
      <c r="G79" s="362"/>
      <c r="H79" s="362"/>
      <c r="J79" s="223"/>
      <c r="K79" s="223"/>
      <c r="L79" s="223"/>
      <c r="M79" s="369"/>
    </row>
    <row r="80" spans="5:13">
      <c r="E80" s="362"/>
      <c r="F80" s="362"/>
      <c r="G80" s="362"/>
      <c r="H80" s="362"/>
      <c r="J80" s="223"/>
      <c r="K80" s="223"/>
      <c r="L80" s="223"/>
      <c r="M80" s="369"/>
    </row>
    <row r="81" spans="5:13">
      <c r="E81" s="362"/>
      <c r="F81" s="362"/>
      <c r="G81" s="362"/>
      <c r="H81" s="362"/>
      <c r="J81" s="223"/>
      <c r="K81" s="223"/>
      <c r="L81" s="223"/>
      <c r="M81" s="369"/>
    </row>
    <row r="82" spans="5:13">
      <c r="J82" s="223"/>
      <c r="K82" s="223"/>
      <c r="L82" s="365"/>
      <c r="M82" s="369"/>
    </row>
    <row r="83" spans="5:13">
      <c r="J83" s="367"/>
      <c r="K83" s="366"/>
      <c r="L83" s="223"/>
      <c r="M83" s="369"/>
    </row>
    <row r="84" spans="5:13">
      <c r="J84" s="367"/>
      <c r="K84" s="366"/>
      <c r="L84" s="223"/>
      <c r="M84" s="369"/>
    </row>
    <row r="85" spans="5:13">
      <c r="L85" s="223"/>
      <c r="M85" s="369"/>
    </row>
  </sheetData>
  <autoFilter ref="A5:K3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zoomScale="80" zoomScaleNormal="80" workbookViewId="0">
      <pane ySplit="3" topLeftCell="A41" activePane="bottomLeft" state="frozen"/>
      <selection pane="bottomLeft" activeCell="A49" sqref="A49"/>
    </sheetView>
  </sheetViews>
  <sheetFormatPr defaultRowHeight="11.25"/>
  <cols>
    <col min="1" max="1" width="79.28515625" style="215" customWidth="1"/>
    <col min="2" max="2" width="8.85546875" style="215" bestFit="1" customWidth="1"/>
    <col min="3" max="3" width="14.28515625" style="215" customWidth="1"/>
    <col min="4" max="4" width="9.140625" style="215"/>
    <col min="5" max="5" width="15.42578125" style="215" customWidth="1"/>
    <col min="6" max="6" width="11.42578125" style="215" bestFit="1" customWidth="1"/>
    <col min="7" max="7" width="11.28515625" style="215" bestFit="1" customWidth="1"/>
    <col min="8" max="8" width="9.42578125" style="215" bestFit="1" customWidth="1"/>
    <col min="9" max="9" width="10.28515625" style="215" bestFit="1" customWidth="1"/>
    <col min="10" max="10" width="12.42578125" style="215" bestFit="1" customWidth="1"/>
    <col min="11" max="11" width="9.140625" style="215"/>
    <col min="12" max="12" width="11.7109375" style="215" customWidth="1"/>
    <col min="13" max="16384" width="9.140625" style="215"/>
  </cols>
  <sheetData>
    <row r="1" spans="1:12" ht="12.75">
      <c r="A1" s="560" t="s">
        <v>2700</v>
      </c>
      <c r="B1" s="558"/>
      <c r="C1" s="558"/>
      <c r="D1" s="558"/>
      <c r="E1" s="558"/>
      <c r="F1" s="558"/>
      <c r="G1" s="558"/>
      <c r="H1" s="558"/>
      <c r="I1" s="558"/>
      <c r="J1" s="558"/>
    </row>
    <row r="2" spans="1:12" ht="12.75">
      <c r="B2" s="562"/>
      <c r="C2" s="562"/>
      <c r="D2" s="562"/>
      <c r="E2" s="563"/>
      <c r="F2" s="562"/>
      <c r="G2" s="562"/>
      <c r="H2" s="562"/>
      <c r="I2" s="565"/>
      <c r="J2" s="565"/>
    </row>
    <row r="3" spans="1:12" ht="12.75">
      <c r="A3" s="561" t="s">
        <v>2701</v>
      </c>
      <c r="B3" s="561" t="s">
        <v>2702</v>
      </c>
      <c r="C3" s="561" t="s">
        <v>2703</v>
      </c>
      <c r="D3" s="561" t="s">
        <v>2544</v>
      </c>
      <c r="E3" s="563" t="s">
        <v>2704</v>
      </c>
      <c r="F3" s="561" t="s">
        <v>2545</v>
      </c>
      <c r="G3" s="561" t="s">
        <v>2546</v>
      </c>
      <c r="H3" s="561" t="s">
        <v>2547</v>
      </c>
      <c r="I3" s="564" t="s">
        <v>2548</v>
      </c>
      <c r="J3" s="564" t="s">
        <v>2549</v>
      </c>
    </row>
    <row r="4" spans="1:12" ht="12.75">
      <c r="A4" s="560" t="s">
        <v>2705</v>
      </c>
      <c r="B4" s="559">
        <v>140558</v>
      </c>
      <c r="C4" s="559">
        <v>400626</v>
      </c>
      <c r="D4" s="559" t="s">
        <v>2706</v>
      </c>
      <c r="E4" s="558"/>
      <c r="F4" s="559" t="s">
        <v>2707</v>
      </c>
      <c r="G4" s="559" t="s">
        <v>2708</v>
      </c>
      <c r="H4" s="559" t="s">
        <v>2624</v>
      </c>
      <c r="I4" s="566">
        <v>1660</v>
      </c>
      <c r="J4" s="566">
        <v>0</v>
      </c>
      <c r="L4" s="223"/>
    </row>
    <row r="5" spans="1:12" ht="12.75">
      <c r="A5" s="558"/>
      <c r="B5" s="559">
        <v>140560</v>
      </c>
      <c r="C5" s="559">
        <v>400625</v>
      </c>
      <c r="D5" s="559" t="s">
        <v>2706</v>
      </c>
      <c r="E5" s="558"/>
      <c r="F5" s="559" t="s">
        <v>2707</v>
      </c>
      <c r="G5" s="559" t="s">
        <v>2709</v>
      </c>
      <c r="H5" s="559" t="s">
        <v>2624</v>
      </c>
      <c r="I5" s="566">
        <v>1910</v>
      </c>
      <c r="J5" s="566">
        <v>0</v>
      </c>
      <c r="L5" s="223"/>
    </row>
    <row r="6" spans="1:12" ht="12.75">
      <c r="A6" s="558"/>
      <c r="B6" s="559">
        <v>140563</v>
      </c>
      <c r="C6" s="559">
        <v>400628</v>
      </c>
      <c r="D6" s="559" t="s">
        <v>2706</v>
      </c>
      <c r="E6" s="558"/>
      <c r="F6" s="559" t="s">
        <v>2707</v>
      </c>
      <c r="G6" s="559" t="s">
        <v>2710</v>
      </c>
      <c r="H6" s="559" t="s">
        <v>2624</v>
      </c>
      <c r="I6" s="566">
        <v>2150</v>
      </c>
      <c r="J6" s="566">
        <v>0</v>
      </c>
      <c r="L6" s="223"/>
    </row>
    <row r="7" spans="1:12" ht="12.75">
      <c r="A7" s="560" t="s">
        <v>2711</v>
      </c>
      <c r="B7" s="559">
        <v>141937</v>
      </c>
      <c r="C7" s="559">
        <v>1300009</v>
      </c>
      <c r="D7" s="559" t="s">
        <v>1841</v>
      </c>
      <c r="E7" s="558"/>
      <c r="F7" s="559" t="s">
        <v>2712</v>
      </c>
      <c r="G7" s="559" t="s">
        <v>2713</v>
      </c>
      <c r="H7" s="559" t="s">
        <v>1758</v>
      </c>
      <c r="I7" s="566">
        <v>0</v>
      </c>
      <c r="J7" s="566">
        <v>264.72000000000003</v>
      </c>
      <c r="L7" s="223"/>
    </row>
    <row r="8" spans="1:12" ht="12.75">
      <c r="A8" s="560" t="s">
        <v>2714</v>
      </c>
      <c r="B8" s="559">
        <v>121985</v>
      </c>
      <c r="C8" s="559">
        <v>585949</v>
      </c>
      <c r="D8" s="559" t="s">
        <v>2715</v>
      </c>
      <c r="E8" s="558"/>
      <c r="F8" s="559" t="s">
        <v>2716</v>
      </c>
      <c r="G8" s="559" t="s">
        <v>2717</v>
      </c>
      <c r="H8" s="559" t="s">
        <v>2718</v>
      </c>
      <c r="I8" s="566">
        <v>2028.06</v>
      </c>
      <c r="J8" s="566">
        <v>0</v>
      </c>
      <c r="L8" s="223"/>
    </row>
    <row r="9" spans="1:12" ht="12.75">
      <c r="A9" s="558"/>
      <c r="B9" s="559">
        <v>121986</v>
      </c>
      <c r="C9" s="559">
        <v>585950</v>
      </c>
      <c r="D9" s="559" t="s">
        <v>2715</v>
      </c>
      <c r="E9" s="558"/>
      <c r="F9" s="559" t="s">
        <v>2716</v>
      </c>
      <c r="G9" s="559" t="s">
        <v>2719</v>
      </c>
      <c r="H9" s="559" t="s">
        <v>2718</v>
      </c>
      <c r="I9" s="566">
        <v>2856.67</v>
      </c>
      <c r="J9" s="566">
        <v>0</v>
      </c>
      <c r="L9" s="223"/>
    </row>
    <row r="10" spans="1:12" ht="12.75">
      <c r="A10" s="558"/>
      <c r="B10" s="559">
        <v>121987</v>
      </c>
      <c r="C10" s="559">
        <v>585951</v>
      </c>
      <c r="D10" s="559" t="s">
        <v>2715</v>
      </c>
      <c r="E10" s="558"/>
      <c r="F10" s="559" t="s">
        <v>2716</v>
      </c>
      <c r="G10" s="559" t="s">
        <v>2717</v>
      </c>
      <c r="H10" s="559" t="s">
        <v>2718</v>
      </c>
      <c r="I10" s="566">
        <v>2028.11</v>
      </c>
      <c r="J10" s="566">
        <v>0</v>
      </c>
      <c r="L10" s="223"/>
    </row>
    <row r="11" spans="1:12" ht="12.75">
      <c r="A11" s="558"/>
      <c r="B11" s="559">
        <v>121989</v>
      </c>
      <c r="C11" s="559">
        <v>585953</v>
      </c>
      <c r="D11" s="559" t="s">
        <v>2715</v>
      </c>
      <c r="E11" s="558"/>
      <c r="F11" s="559" t="s">
        <v>2716</v>
      </c>
      <c r="G11" s="559" t="s">
        <v>2717</v>
      </c>
      <c r="H11" s="559" t="s">
        <v>2718</v>
      </c>
      <c r="I11" s="566">
        <v>2114.1</v>
      </c>
      <c r="J11" s="566">
        <v>0</v>
      </c>
      <c r="L11" s="223"/>
    </row>
    <row r="12" spans="1:12" ht="12.75">
      <c r="A12" s="558"/>
      <c r="B12" s="559">
        <v>121990</v>
      </c>
      <c r="C12" s="559">
        <v>585954</v>
      </c>
      <c r="D12" s="559" t="s">
        <v>2715</v>
      </c>
      <c r="E12" s="558"/>
      <c r="F12" s="559" t="s">
        <v>2716</v>
      </c>
      <c r="G12" s="559" t="s">
        <v>2717</v>
      </c>
      <c r="H12" s="559" t="s">
        <v>2718</v>
      </c>
      <c r="I12" s="566">
        <v>1727.35</v>
      </c>
      <c r="J12" s="566">
        <v>0</v>
      </c>
      <c r="L12" s="223"/>
    </row>
    <row r="13" spans="1:12" ht="12.75">
      <c r="B13" s="559">
        <v>121991</v>
      </c>
      <c r="C13" s="559">
        <v>585955</v>
      </c>
      <c r="D13" s="559" t="s">
        <v>2715</v>
      </c>
      <c r="E13" s="558"/>
      <c r="F13" s="559" t="s">
        <v>2716</v>
      </c>
      <c r="G13" s="559" t="s">
        <v>2717</v>
      </c>
      <c r="H13" s="559" t="s">
        <v>2718</v>
      </c>
      <c r="I13" s="566">
        <v>1727.12</v>
      </c>
      <c r="J13" s="566">
        <v>0</v>
      </c>
      <c r="L13" s="223"/>
    </row>
    <row r="14" spans="1:12" ht="12.75">
      <c r="B14" s="559">
        <v>121996</v>
      </c>
      <c r="C14" s="559">
        <v>531111</v>
      </c>
      <c r="D14" s="559" t="s">
        <v>2715</v>
      </c>
      <c r="E14" s="558"/>
      <c r="F14" s="559" t="s">
        <v>2720</v>
      </c>
      <c r="G14" s="559" t="s">
        <v>2717</v>
      </c>
      <c r="H14" s="559" t="s">
        <v>2718</v>
      </c>
      <c r="I14" s="566">
        <v>71.7</v>
      </c>
      <c r="J14" s="566">
        <v>0</v>
      </c>
      <c r="L14" s="223"/>
    </row>
    <row r="15" spans="1:12" ht="12.75">
      <c r="B15" s="559">
        <v>122063</v>
      </c>
      <c r="C15" s="559">
        <v>586051</v>
      </c>
      <c r="D15" s="559" t="s">
        <v>2721</v>
      </c>
      <c r="E15" s="558"/>
      <c r="F15" s="559" t="s">
        <v>2722</v>
      </c>
      <c r="G15" s="559" t="s">
        <v>2719</v>
      </c>
      <c r="H15" s="559" t="s">
        <v>2718</v>
      </c>
      <c r="I15" s="566">
        <v>280.94</v>
      </c>
      <c r="J15" s="566">
        <v>0</v>
      </c>
      <c r="L15" s="223"/>
    </row>
    <row r="16" spans="1:12" ht="12.75">
      <c r="B16" s="559">
        <v>122064</v>
      </c>
      <c r="C16" s="559">
        <v>215162</v>
      </c>
      <c r="D16" s="559" t="s">
        <v>2721</v>
      </c>
      <c r="E16" s="558"/>
      <c r="F16" s="559" t="s">
        <v>2722</v>
      </c>
      <c r="G16" s="559" t="s">
        <v>2719</v>
      </c>
      <c r="H16" s="559" t="s">
        <v>2718</v>
      </c>
      <c r="I16" s="566">
        <v>3299.36</v>
      </c>
      <c r="J16" s="566">
        <v>0</v>
      </c>
      <c r="L16" s="223"/>
    </row>
    <row r="17" spans="2:12" ht="12.75">
      <c r="B17" s="559">
        <v>122130</v>
      </c>
      <c r="C17" s="559">
        <v>215239</v>
      </c>
      <c r="D17" s="559" t="s">
        <v>2721</v>
      </c>
      <c r="E17" s="558"/>
      <c r="F17" s="559" t="s">
        <v>2723</v>
      </c>
      <c r="G17" s="559" t="s">
        <v>2719</v>
      </c>
      <c r="H17" s="559" t="s">
        <v>2718</v>
      </c>
      <c r="I17" s="566">
        <v>1491.4</v>
      </c>
      <c r="J17" s="566">
        <v>0</v>
      </c>
      <c r="L17" s="223"/>
    </row>
    <row r="18" spans="2:12" ht="12.75">
      <c r="B18" s="559">
        <v>122153</v>
      </c>
      <c r="C18" s="559">
        <v>586233</v>
      </c>
      <c r="D18" s="559" t="s">
        <v>2715</v>
      </c>
      <c r="E18" s="558"/>
      <c r="F18" s="559" t="s">
        <v>2724</v>
      </c>
      <c r="G18" s="559" t="s">
        <v>2725</v>
      </c>
      <c r="H18" s="559" t="s">
        <v>2718</v>
      </c>
      <c r="I18" s="566">
        <v>3432.08</v>
      </c>
      <c r="J18" s="566">
        <v>0</v>
      </c>
      <c r="L18" s="223"/>
    </row>
    <row r="19" spans="2:12" ht="12.75">
      <c r="B19" s="559">
        <v>122154</v>
      </c>
      <c r="C19" s="559">
        <v>586234</v>
      </c>
      <c r="D19" s="559" t="s">
        <v>2715</v>
      </c>
      <c r="E19" s="558"/>
      <c r="F19" s="559" t="s">
        <v>2724</v>
      </c>
      <c r="G19" s="559" t="s">
        <v>2719</v>
      </c>
      <c r="H19" s="559" t="s">
        <v>2718</v>
      </c>
      <c r="I19" s="566">
        <v>2114.09</v>
      </c>
      <c r="J19" s="566">
        <v>0</v>
      </c>
      <c r="L19" s="223"/>
    </row>
    <row r="20" spans="2:12" ht="12.75">
      <c r="B20" s="559">
        <v>122155</v>
      </c>
      <c r="C20" s="559">
        <v>586235</v>
      </c>
      <c r="D20" s="559" t="s">
        <v>2715</v>
      </c>
      <c r="E20" s="558"/>
      <c r="F20" s="559" t="s">
        <v>2724</v>
      </c>
      <c r="G20" s="559" t="s">
        <v>2725</v>
      </c>
      <c r="H20" s="559" t="s">
        <v>2718</v>
      </c>
      <c r="I20" s="566">
        <v>2113.7800000000002</v>
      </c>
      <c r="J20" s="566">
        <v>0</v>
      </c>
      <c r="L20" s="223"/>
    </row>
    <row r="21" spans="2:12" ht="12.75">
      <c r="B21" s="559">
        <v>122156</v>
      </c>
      <c r="C21" s="559">
        <v>586236</v>
      </c>
      <c r="D21" s="559" t="s">
        <v>2715</v>
      </c>
      <c r="E21" s="558"/>
      <c r="F21" s="559" t="s">
        <v>2724</v>
      </c>
      <c r="G21" s="559" t="s">
        <v>2725</v>
      </c>
      <c r="H21" s="559" t="s">
        <v>2718</v>
      </c>
      <c r="I21" s="566">
        <v>2113.98</v>
      </c>
      <c r="J21" s="566">
        <v>0</v>
      </c>
      <c r="L21" s="223"/>
    </row>
    <row r="22" spans="2:12" ht="12.75">
      <c r="B22" s="559">
        <v>122157</v>
      </c>
      <c r="C22" s="559">
        <v>586237</v>
      </c>
      <c r="D22" s="559" t="s">
        <v>2715</v>
      </c>
      <c r="E22" s="558"/>
      <c r="F22" s="559" t="s">
        <v>2724</v>
      </c>
      <c r="G22" s="559" t="s">
        <v>2726</v>
      </c>
      <c r="H22" s="559" t="s">
        <v>2718</v>
      </c>
      <c r="I22" s="566">
        <v>1727.71</v>
      </c>
      <c r="J22" s="566">
        <v>0</v>
      </c>
      <c r="L22" s="223"/>
    </row>
    <row r="23" spans="2:12" ht="12.75">
      <c r="B23" s="559">
        <v>122158</v>
      </c>
      <c r="C23" s="559">
        <v>586238</v>
      </c>
      <c r="D23" s="559" t="s">
        <v>2715</v>
      </c>
      <c r="E23" s="558"/>
      <c r="F23" s="559" t="s">
        <v>2724</v>
      </c>
      <c r="G23" s="559" t="s">
        <v>2725</v>
      </c>
      <c r="H23" s="559" t="s">
        <v>2718</v>
      </c>
      <c r="I23" s="566">
        <v>2113.9899999999998</v>
      </c>
      <c r="J23" s="566">
        <v>0</v>
      </c>
      <c r="L23" s="223"/>
    </row>
    <row r="24" spans="2:12" ht="12.75">
      <c r="B24" s="559">
        <v>122159</v>
      </c>
      <c r="C24" s="559">
        <v>586239</v>
      </c>
      <c r="D24" s="559" t="s">
        <v>2715</v>
      </c>
      <c r="E24" s="558"/>
      <c r="F24" s="559" t="s">
        <v>2724</v>
      </c>
      <c r="G24" s="559" t="s">
        <v>2726</v>
      </c>
      <c r="H24" s="559" t="s">
        <v>2718</v>
      </c>
      <c r="I24" s="566">
        <v>2257.85</v>
      </c>
      <c r="J24" s="566">
        <v>0</v>
      </c>
      <c r="L24" s="223"/>
    </row>
    <row r="25" spans="2:12" ht="12.75">
      <c r="B25" s="559">
        <v>122160</v>
      </c>
      <c r="C25" s="559">
        <v>586240</v>
      </c>
      <c r="D25" s="559" t="s">
        <v>2715</v>
      </c>
      <c r="E25" s="558"/>
      <c r="F25" s="559" t="s">
        <v>2724</v>
      </c>
      <c r="G25" s="559" t="s">
        <v>2726</v>
      </c>
      <c r="H25" s="559" t="s">
        <v>2718</v>
      </c>
      <c r="I25" s="566">
        <v>872.96</v>
      </c>
      <c r="J25" s="566">
        <v>0</v>
      </c>
      <c r="L25" s="223"/>
    </row>
    <row r="26" spans="2:12" ht="12.75">
      <c r="B26" s="559">
        <v>122166</v>
      </c>
      <c r="C26" s="559">
        <v>586249</v>
      </c>
      <c r="D26" s="559" t="s">
        <v>2715</v>
      </c>
      <c r="E26" s="558"/>
      <c r="F26" s="559" t="s">
        <v>2727</v>
      </c>
      <c r="G26" s="559" t="s">
        <v>2726</v>
      </c>
      <c r="H26" s="559" t="s">
        <v>2718</v>
      </c>
      <c r="I26" s="566">
        <v>2114.09</v>
      </c>
      <c r="J26" s="566">
        <v>0</v>
      </c>
      <c r="L26" s="223"/>
    </row>
    <row r="27" spans="2:12" ht="12.75">
      <c r="B27" s="559">
        <v>122167</v>
      </c>
      <c r="C27" s="559">
        <v>586251</v>
      </c>
      <c r="D27" s="559" t="s">
        <v>2715</v>
      </c>
      <c r="E27" s="558"/>
      <c r="F27" s="559" t="s">
        <v>2727</v>
      </c>
      <c r="G27" s="559" t="s">
        <v>2728</v>
      </c>
      <c r="H27" s="559" t="s">
        <v>2718</v>
      </c>
      <c r="I27" s="566">
        <v>1727.76</v>
      </c>
      <c r="J27" s="566">
        <v>0</v>
      </c>
      <c r="L27" s="223"/>
    </row>
    <row r="28" spans="2:12" ht="12.75">
      <c r="B28" s="559">
        <v>122168</v>
      </c>
      <c r="C28" s="559">
        <v>586252</v>
      </c>
      <c r="D28" s="559" t="s">
        <v>2715</v>
      </c>
      <c r="E28" s="558"/>
      <c r="F28" s="559" t="s">
        <v>2727</v>
      </c>
      <c r="G28" s="559" t="s">
        <v>2728</v>
      </c>
      <c r="H28" s="559" t="s">
        <v>2718</v>
      </c>
      <c r="I28" s="566">
        <v>1560.08</v>
      </c>
      <c r="J28" s="566">
        <v>0</v>
      </c>
      <c r="L28" s="223"/>
    </row>
    <row r="29" spans="2:12" ht="12.75">
      <c r="B29" s="559">
        <v>122169</v>
      </c>
      <c r="C29" s="559">
        <v>586257</v>
      </c>
      <c r="D29" s="559" t="s">
        <v>2715</v>
      </c>
      <c r="E29" s="558"/>
      <c r="F29" s="559" t="s">
        <v>2727</v>
      </c>
      <c r="G29" s="559" t="s">
        <v>2728</v>
      </c>
      <c r="H29" s="559" t="s">
        <v>2718</v>
      </c>
      <c r="I29" s="566">
        <v>2113.77</v>
      </c>
      <c r="J29" s="566">
        <v>0</v>
      </c>
      <c r="L29" s="223"/>
    </row>
    <row r="30" spans="2:12" ht="12.75">
      <c r="B30" s="559">
        <v>122170</v>
      </c>
      <c r="C30" s="559">
        <v>586274</v>
      </c>
      <c r="D30" s="559" t="s">
        <v>2715</v>
      </c>
      <c r="E30" s="558"/>
      <c r="F30" s="559" t="s">
        <v>2729</v>
      </c>
      <c r="G30" s="559" t="s">
        <v>2726</v>
      </c>
      <c r="H30" s="559" t="s">
        <v>2718</v>
      </c>
      <c r="I30" s="566">
        <v>2869.52</v>
      </c>
      <c r="J30" s="566">
        <v>0</v>
      </c>
      <c r="L30" s="223"/>
    </row>
    <row r="31" spans="2:12" ht="12.75">
      <c r="B31" s="559">
        <v>122171</v>
      </c>
      <c r="C31" s="559">
        <v>586282</v>
      </c>
      <c r="D31" s="559" t="s">
        <v>2715</v>
      </c>
      <c r="E31" s="558"/>
      <c r="F31" s="559" t="s">
        <v>2729</v>
      </c>
      <c r="G31" s="559" t="s">
        <v>2730</v>
      </c>
      <c r="H31" s="559" t="s">
        <v>2718</v>
      </c>
      <c r="I31" s="566">
        <v>873.28</v>
      </c>
      <c r="J31" s="566">
        <v>0</v>
      </c>
      <c r="L31" s="223"/>
    </row>
    <row r="32" spans="2:12" ht="12.75">
      <c r="B32" s="559">
        <v>122172</v>
      </c>
      <c r="C32" s="559">
        <v>586283</v>
      </c>
      <c r="D32" s="559" t="s">
        <v>2715</v>
      </c>
      <c r="E32" s="558"/>
      <c r="F32" s="559" t="s">
        <v>2729</v>
      </c>
      <c r="G32" s="559" t="s">
        <v>2730</v>
      </c>
      <c r="H32" s="559" t="s">
        <v>2718</v>
      </c>
      <c r="I32" s="566">
        <v>2113.98</v>
      </c>
      <c r="J32" s="566">
        <v>0</v>
      </c>
      <c r="L32" s="223"/>
    </row>
    <row r="33" spans="1:12" ht="12.75">
      <c r="B33" s="559">
        <v>122173</v>
      </c>
      <c r="C33" s="559">
        <v>586284</v>
      </c>
      <c r="D33" s="559" t="s">
        <v>2715</v>
      </c>
      <c r="E33" s="558"/>
      <c r="F33" s="559" t="s">
        <v>2729</v>
      </c>
      <c r="G33" s="559" t="s">
        <v>2728</v>
      </c>
      <c r="H33" s="559" t="s">
        <v>2718</v>
      </c>
      <c r="I33" s="566">
        <v>2114.09</v>
      </c>
      <c r="J33" s="566">
        <v>0</v>
      </c>
      <c r="L33" s="223"/>
    </row>
    <row r="34" spans="1:12" ht="12.75">
      <c r="B34" s="559">
        <v>122174</v>
      </c>
      <c r="C34" s="559">
        <v>586301</v>
      </c>
      <c r="D34" s="559" t="s">
        <v>2715</v>
      </c>
      <c r="E34" s="558"/>
      <c r="F34" s="559" t="s">
        <v>2731</v>
      </c>
      <c r="G34" s="559" t="s">
        <v>2730</v>
      </c>
      <c r="H34" s="559" t="s">
        <v>2718</v>
      </c>
      <c r="I34" s="566">
        <v>2113.98</v>
      </c>
      <c r="J34" s="566">
        <v>0</v>
      </c>
      <c r="L34" s="223"/>
    </row>
    <row r="35" spans="1:12" ht="12.75">
      <c r="B35" s="559">
        <v>122175</v>
      </c>
      <c r="C35" s="559">
        <v>586306</v>
      </c>
      <c r="D35" s="559" t="s">
        <v>2715</v>
      </c>
      <c r="E35" s="558"/>
      <c r="F35" s="559" t="s">
        <v>2731</v>
      </c>
      <c r="G35" s="559" t="s">
        <v>2730</v>
      </c>
      <c r="H35" s="559" t="s">
        <v>2718</v>
      </c>
      <c r="I35" s="566">
        <v>1727.71</v>
      </c>
      <c r="J35" s="566">
        <v>0</v>
      </c>
      <c r="L35" s="223"/>
    </row>
    <row r="36" spans="1:12" ht="12.75">
      <c r="B36" s="559">
        <v>122176</v>
      </c>
      <c r="C36" s="559">
        <v>586307</v>
      </c>
      <c r="D36" s="559" t="s">
        <v>2715</v>
      </c>
      <c r="E36" s="558"/>
      <c r="F36" s="559" t="s">
        <v>2731</v>
      </c>
      <c r="G36" s="559" t="s">
        <v>2728</v>
      </c>
      <c r="H36" s="559" t="s">
        <v>2718</v>
      </c>
      <c r="I36" s="566">
        <v>2333.86</v>
      </c>
      <c r="J36" s="566">
        <v>0</v>
      </c>
      <c r="L36" s="223"/>
    </row>
    <row r="37" spans="1:12" ht="12.75">
      <c r="B37" s="559">
        <v>122177</v>
      </c>
      <c r="C37" s="559">
        <v>586313</v>
      </c>
      <c r="D37" s="559" t="s">
        <v>2715</v>
      </c>
      <c r="E37" s="558"/>
      <c r="F37" s="559" t="s">
        <v>2731</v>
      </c>
      <c r="G37" s="559" t="s">
        <v>2730</v>
      </c>
      <c r="H37" s="559" t="s">
        <v>2718</v>
      </c>
      <c r="I37" s="566">
        <v>1727.71</v>
      </c>
      <c r="J37" s="566">
        <v>0</v>
      </c>
      <c r="L37" s="223"/>
    </row>
    <row r="38" spans="1:12" ht="12.75">
      <c r="B38" s="559">
        <v>122178</v>
      </c>
      <c r="C38" s="559">
        <v>586322</v>
      </c>
      <c r="D38" s="559" t="s">
        <v>2715</v>
      </c>
      <c r="E38" s="558"/>
      <c r="F38" s="559" t="s">
        <v>2732</v>
      </c>
      <c r="G38" s="559" t="s">
        <v>2730</v>
      </c>
      <c r="H38" s="559" t="s">
        <v>2718</v>
      </c>
      <c r="I38" s="566">
        <v>823.76</v>
      </c>
      <c r="J38" s="566">
        <v>0</v>
      </c>
      <c r="L38" s="223"/>
    </row>
    <row r="39" spans="1:12" ht="12.75">
      <c r="B39" s="559">
        <v>122179</v>
      </c>
      <c r="C39" s="559">
        <v>586323</v>
      </c>
      <c r="D39" s="559" t="s">
        <v>2715</v>
      </c>
      <c r="E39" s="558"/>
      <c r="F39" s="559" t="s">
        <v>2732</v>
      </c>
      <c r="G39" s="559" t="s">
        <v>2733</v>
      </c>
      <c r="H39" s="559" t="s">
        <v>2718</v>
      </c>
      <c r="I39" s="566">
        <v>2113.62</v>
      </c>
      <c r="J39" s="566">
        <v>0</v>
      </c>
      <c r="L39" s="223"/>
    </row>
    <row r="40" spans="1:12" ht="12.75">
      <c r="B40" s="559">
        <v>122180</v>
      </c>
      <c r="C40" s="559">
        <v>586324</v>
      </c>
      <c r="D40" s="559" t="s">
        <v>2715</v>
      </c>
      <c r="E40" s="558"/>
      <c r="F40" s="559" t="s">
        <v>2732</v>
      </c>
      <c r="G40" s="559" t="s">
        <v>2730</v>
      </c>
      <c r="H40" s="559" t="s">
        <v>2718</v>
      </c>
      <c r="I40" s="566">
        <v>833.72</v>
      </c>
      <c r="J40" s="566">
        <v>0</v>
      </c>
      <c r="L40" s="223"/>
    </row>
    <row r="41" spans="1:12" ht="12.75">
      <c r="B41" s="559">
        <v>122181</v>
      </c>
      <c r="C41" s="559">
        <v>586325</v>
      </c>
      <c r="D41" s="559" t="s">
        <v>2715</v>
      </c>
      <c r="E41" s="558"/>
      <c r="F41" s="559" t="s">
        <v>2732</v>
      </c>
      <c r="G41" s="559" t="s">
        <v>2733</v>
      </c>
      <c r="H41" s="559" t="s">
        <v>2718</v>
      </c>
      <c r="I41" s="566">
        <v>2013.04</v>
      </c>
      <c r="J41" s="566">
        <v>0</v>
      </c>
      <c r="L41" s="223"/>
    </row>
    <row r="42" spans="1:12" ht="12.75">
      <c r="B42" s="559">
        <v>122285</v>
      </c>
      <c r="C42" s="559">
        <v>586413</v>
      </c>
      <c r="D42" s="559" t="s">
        <v>2715</v>
      </c>
      <c r="E42" s="558"/>
      <c r="F42" s="559" t="s">
        <v>2734</v>
      </c>
      <c r="G42" s="559" t="s">
        <v>2735</v>
      </c>
      <c r="H42" s="559" t="s">
        <v>2592</v>
      </c>
      <c r="I42" s="566">
        <v>2869.52</v>
      </c>
      <c r="J42" s="566">
        <v>0</v>
      </c>
      <c r="L42" s="223"/>
    </row>
    <row r="43" spans="1:12" ht="12.75">
      <c r="B43" s="559">
        <v>122286</v>
      </c>
      <c r="C43" s="559">
        <v>586414</v>
      </c>
      <c r="D43" s="559" t="s">
        <v>2715</v>
      </c>
      <c r="E43" s="558"/>
      <c r="F43" s="559" t="s">
        <v>2734</v>
      </c>
      <c r="G43" s="559" t="s">
        <v>2733</v>
      </c>
      <c r="H43" s="559" t="s">
        <v>2592</v>
      </c>
      <c r="I43" s="566">
        <v>1727.63</v>
      </c>
      <c r="J43" s="566">
        <v>0</v>
      </c>
      <c r="L43" s="223"/>
    </row>
    <row r="44" spans="1:12" ht="12.75">
      <c r="B44" s="559">
        <v>122287</v>
      </c>
      <c r="C44" s="559">
        <v>586415</v>
      </c>
      <c r="D44" s="559" t="s">
        <v>2715</v>
      </c>
      <c r="E44" s="558"/>
      <c r="F44" s="559" t="s">
        <v>2734</v>
      </c>
      <c r="G44" s="559" t="s">
        <v>2733</v>
      </c>
      <c r="H44" s="559" t="s">
        <v>2592</v>
      </c>
      <c r="I44" s="566">
        <v>2028.06</v>
      </c>
      <c r="J44" s="566">
        <v>0</v>
      </c>
      <c r="L44" s="223"/>
    </row>
    <row r="45" spans="1:12" ht="12.75">
      <c r="A45" s="558"/>
      <c r="B45" s="559">
        <v>122288</v>
      </c>
      <c r="C45" s="559">
        <v>586419</v>
      </c>
      <c r="D45" s="559" t="s">
        <v>2715</v>
      </c>
      <c r="E45" s="558"/>
      <c r="F45" s="559" t="s">
        <v>2734</v>
      </c>
      <c r="G45" s="559" t="s">
        <v>2733</v>
      </c>
      <c r="H45" s="559" t="s">
        <v>2592</v>
      </c>
      <c r="I45" s="566">
        <v>2496.0700000000002</v>
      </c>
      <c r="J45" s="566">
        <v>0</v>
      </c>
      <c r="L45" s="223"/>
    </row>
    <row r="46" spans="1:12" ht="12.75">
      <c r="A46" s="558"/>
      <c r="B46" s="559">
        <v>122289</v>
      </c>
      <c r="C46" s="559">
        <v>586420</v>
      </c>
      <c r="D46" s="559" t="s">
        <v>2715</v>
      </c>
      <c r="E46" s="558"/>
      <c r="F46" s="559" t="s">
        <v>2734</v>
      </c>
      <c r="G46" s="559" t="s">
        <v>2735</v>
      </c>
      <c r="H46" s="559" t="s">
        <v>2592</v>
      </c>
      <c r="I46" s="566">
        <v>2028.06</v>
      </c>
      <c r="J46" s="566">
        <v>0</v>
      </c>
      <c r="L46" s="223"/>
    </row>
    <row r="47" spans="1:12" ht="12.75">
      <c r="A47" s="558"/>
      <c r="B47" s="559">
        <v>122290</v>
      </c>
      <c r="C47" s="559">
        <v>586438</v>
      </c>
      <c r="D47" s="559" t="s">
        <v>2715</v>
      </c>
      <c r="E47" s="558"/>
      <c r="F47" s="559" t="s">
        <v>2736</v>
      </c>
      <c r="G47" s="559" t="s">
        <v>2735</v>
      </c>
      <c r="H47" s="559" t="s">
        <v>2592</v>
      </c>
      <c r="I47" s="566">
        <v>2113.77</v>
      </c>
      <c r="J47" s="566">
        <v>0</v>
      </c>
      <c r="L47" s="223"/>
    </row>
    <row r="48" spans="1:12" ht="12.75">
      <c r="A48" s="558"/>
      <c r="B48" s="559">
        <v>122291</v>
      </c>
      <c r="C48" s="559">
        <v>586439</v>
      </c>
      <c r="D48" s="559" t="s">
        <v>2715</v>
      </c>
      <c r="E48" s="558"/>
      <c r="F48" s="559" t="s">
        <v>2736</v>
      </c>
      <c r="G48" s="559" t="s">
        <v>2735</v>
      </c>
      <c r="H48" s="559" t="s">
        <v>2592</v>
      </c>
      <c r="I48" s="566">
        <v>1569.99</v>
      </c>
      <c r="J48" s="566">
        <v>0</v>
      </c>
      <c r="L48" s="223"/>
    </row>
    <row r="49" spans="1:12" ht="12.75">
      <c r="A49" s="558"/>
      <c r="B49" s="559">
        <v>122292</v>
      </c>
      <c r="C49" s="559">
        <v>586440</v>
      </c>
      <c r="D49" s="559" t="s">
        <v>2715</v>
      </c>
      <c r="E49" s="558"/>
      <c r="F49" s="559" t="s">
        <v>2736</v>
      </c>
      <c r="G49" s="559" t="s">
        <v>2735</v>
      </c>
      <c r="H49" s="559" t="s">
        <v>2592</v>
      </c>
      <c r="I49" s="566">
        <v>2113.31</v>
      </c>
      <c r="J49" s="566">
        <v>0</v>
      </c>
      <c r="L49" s="223"/>
    </row>
    <row r="50" spans="1:12" ht="12.75">
      <c r="A50" s="558"/>
      <c r="B50" s="559">
        <v>122293</v>
      </c>
      <c r="C50" s="559">
        <v>531476</v>
      </c>
      <c r="D50" s="559" t="s">
        <v>2715</v>
      </c>
      <c r="E50" s="558"/>
      <c r="F50" s="559" t="s">
        <v>2737</v>
      </c>
      <c r="G50" s="559" t="s">
        <v>2733</v>
      </c>
      <c r="H50" s="559" t="s">
        <v>2592</v>
      </c>
      <c r="I50" s="566">
        <v>35.86</v>
      </c>
      <c r="J50" s="566">
        <v>0</v>
      </c>
      <c r="L50" s="223"/>
    </row>
    <row r="51" spans="1:12" ht="12.75">
      <c r="A51" s="560" t="s">
        <v>2738</v>
      </c>
      <c r="B51" s="559">
        <v>133695</v>
      </c>
      <c r="C51" s="559">
        <v>20130643</v>
      </c>
      <c r="D51" s="559" t="s">
        <v>2739</v>
      </c>
      <c r="E51" s="558"/>
      <c r="F51" s="559" t="s">
        <v>2740</v>
      </c>
      <c r="G51" s="559" t="s">
        <v>2741</v>
      </c>
      <c r="H51" s="559" t="s">
        <v>2742</v>
      </c>
      <c r="I51" s="566">
        <v>0</v>
      </c>
      <c r="J51" s="566">
        <v>13219.2</v>
      </c>
      <c r="L51" s="223"/>
    </row>
    <row r="52" spans="1:12" ht="12.75">
      <c r="A52" s="560" t="s">
        <v>2743</v>
      </c>
      <c r="B52" s="559">
        <v>141918</v>
      </c>
      <c r="C52" s="559">
        <v>201471</v>
      </c>
      <c r="D52" s="559" t="s">
        <v>2744</v>
      </c>
      <c r="E52" s="558"/>
      <c r="F52" s="559" t="s">
        <v>2745</v>
      </c>
      <c r="G52" s="559" t="s">
        <v>2746</v>
      </c>
      <c r="H52" s="559" t="s">
        <v>2747</v>
      </c>
      <c r="I52" s="566">
        <v>0</v>
      </c>
      <c r="J52" s="566">
        <v>-19.170000000000002</v>
      </c>
      <c r="L52" s="223"/>
    </row>
    <row r="53" spans="1:12" ht="12.75">
      <c r="A53" s="560" t="s">
        <v>2748</v>
      </c>
      <c r="B53" s="559">
        <v>141938</v>
      </c>
      <c r="C53" s="559">
        <v>7769634961</v>
      </c>
      <c r="D53" s="559" t="s">
        <v>2572</v>
      </c>
      <c r="E53" s="558"/>
      <c r="F53" s="559" t="s">
        <v>2749</v>
      </c>
      <c r="G53" s="559" t="s">
        <v>2750</v>
      </c>
      <c r="H53" s="559" t="s">
        <v>1758</v>
      </c>
      <c r="I53" s="566">
        <v>49.14</v>
      </c>
      <c r="J53" s="566">
        <v>0</v>
      </c>
      <c r="L53" s="223"/>
    </row>
    <row r="54" spans="1:12" ht="12.75">
      <c r="A54" s="560" t="s">
        <v>2751</v>
      </c>
      <c r="B54" s="559">
        <v>83884</v>
      </c>
      <c r="C54" s="559">
        <v>8273757</v>
      </c>
      <c r="D54" s="559" t="s">
        <v>946</v>
      </c>
      <c r="E54" s="558"/>
      <c r="F54" s="559" t="s">
        <v>2752</v>
      </c>
      <c r="G54" s="559" t="s">
        <v>2753</v>
      </c>
      <c r="H54" s="559" t="s">
        <v>2754</v>
      </c>
      <c r="I54" s="566">
        <v>0</v>
      </c>
      <c r="J54" s="566">
        <v>2005.88</v>
      </c>
      <c r="L54" s="223"/>
    </row>
    <row r="55" spans="1:12" ht="12.75">
      <c r="A55" s="558"/>
      <c r="B55" s="559">
        <v>83885</v>
      </c>
      <c r="C55" s="559">
        <v>8273759</v>
      </c>
      <c r="D55" s="559" t="s">
        <v>946</v>
      </c>
      <c r="E55" s="558"/>
      <c r="F55" s="559" t="s">
        <v>2752</v>
      </c>
      <c r="G55" s="559" t="s">
        <v>2753</v>
      </c>
      <c r="H55" s="559" t="s">
        <v>2754</v>
      </c>
      <c r="I55" s="566">
        <v>0</v>
      </c>
      <c r="J55" s="566">
        <v>19.45</v>
      </c>
      <c r="L55" s="223"/>
    </row>
    <row r="56" spans="1:12" ht="12.75">
      <c r="A56" s="558"/>
      <c r="B56" s="559">
        <v>83892</v>
      </c>
      <c r="C56" s="559">
        <v>8277486</v>
      </c>
      <c r="D56" s="559" t="s">
        <v>946</v>
      </c>
      <c r="E56" s="558"/>
      <c r="F56" s="559" t="s">
        <v>2755</v>
      </c>
      <c r="G56" s="559" t="s">
        <v>2756</v>
      </c>
      <c r="H56" s="559" t="s">
        <v>2754</v>
      </c>
      <c r="I56" s="566">
        <v>0</v>
      </c>
      <c r="J56" s="566">
        <v>73.92</v>
      </c>
      <c r="L56" s="223"/>
    </row>
    <row r="57" spans="1:12" ht="12.75">
      <c r="A57" s="558"/>
      <c r="B57" s="559">
        <v>83893</v>
      </c>
      <c r="C57" s="559">
        <v>8277485</v>
      </c>
      <c r="D57" s="559" t="s">
        <v>946</v>
      </c>
      <c r="E57" s="558"/>
      <c r="F57" s="559" t="s">
        <v>2755</v>
      </c>
      <c r="G57" s="559" t="s">
        <v>2756</v>
      </c>
      <c r="H57" s="559" t="s">
        <v>2754</v>
      </c>
      <c r="I57" s="566">
        <v>0</v>
      </c>
      <c r="J57" s="566">
        <v>7818.1</v>
      </c>
      <c r="L57" s="223"/>
    </row>
    <row r="58" spans="1:12" ht="12.75">
      <c r="A58" s="558"/>
      <c r="B58" s="559">
        <v>83894</v>
      </c>
      <c r="C58" s="559">
        <v>8278588</v>
      </c>
      <c r="D58" s="559" t="s">
        <v>946</v>
      </c>
      <c r="E58" s="558"/>
      <c r="F58" s="559" t="s">
        <v>2757</v>
      </c>
      <c r="G58" s="559" t="s">
        <v>2758</v>
      </c>
      <c r="H58" s="559" t="s">
        <v>2754</v>
      </c>
      <c r="I58" s="566">
        <v>0</v>
      </c>
      <c r="J58" s="566">
        <v>43.45</v>
      </c>
      <c r="L58" s="223"/>
    </row>
    <row r="59" spans="1:12" ht="12.75">
      <c r="A59" s="558"/>
      <c r="B59" s="559">
        <v>83895</v>
      </c>
      <c r="C59" s="559">
        <v>8281070</v>
      </c>
      <c r="D59" s="559" t="s">
        <v>946</v>
      </c>
      <c r="E59" s="558"/>
      <c r="F59" s="559" t="s">
        <v>2759</v>
      </c>
      <c r="G59" s="559" t="s">
        <v>2760</v>
      </c>
      <c r="H59" s="559" t="s">
        <v>2754</v>
      </c>
      <c r="I59" s="566">
        <v>0</v>
      </c>
      <c r="J59" s="566">
        <v>3726.78</v>
      </c>
      <c r="L59" s="223"/>
    </row>
    <row r="60" spans="1:12" ht="12.75">
      <c r="A60" s="558"/>
      <c r="B60" s="559">
        <v>83896</v>
      </c>
      <c r="C60" s="559">
        <v>8278777</v>
      </c>
      <c r="D60" s="559" t="s">
        <v>946</v>
      </c>
      <c r="E60" s="558"/>
      <c r="F60" s="559" t="s">
        <v>2757</v>
      </c>
      <c r="G60" s="559" t="s">
        <v>2758</v>
      </c>
      <c r="H60" s="559" t="s">
        <v>2754</v>
      </c>
      <c r="I60" s="566">
        <v>0</v>
      </c>
      <c r="J60" s="566">
        <v>7540.7</v>
      </c>
      <c r="L60" s="223"/>
    </row>
    <row r="61" spans="1:12" ht="12.75">
      <c r="A61" s="558"/>
      <c r="B61" s="559">
        <v>83920</v>
      </c>
      <c r="C61" s="559">
        <v>8283394</v>
      </c>
      <c r="D61" s="559" t="s">
        <v>946</v>
      </c>
      <c r="E61" s="558"/>
      <c r="F61" s="559" t="s">
        <v>2761</v>
      </c>
      <c r="G61" s="559" t="s">
        <v>2762</v>
      </c>
      <c r="H61" s="559" t="s">
        <v>2754</v>
      </c>
      <c r="I61" s="566">
        <v>0</v>
      </c>
      <c r="J61" s="566">
        <v>4445.0600000000004</v>
      </c>
      <c r="L61" s="223"/>
    </row>
    <row r="62" spans="1:12" ht="12.75">
      <c r="A62" s="558"/>
      <c r="B62" s="559">
        <v>83921</v>
      </c>
      <c r="C62" s="559">
        <v>8283381</v>
      </c>
      <c r="D62" s="559" t="s">
        <v>946</v>
      </c>
      <c r="E62" s="558"/>
      <c r="F62" s="559" t="s">
        <v>2761</v>
      </c>
      <c r="G62" s="559" t="s">
        <v>2762</v>
      </c>
      <c r="H62" s="559" t="s">
        <v>2754</v>
      </c>
      <c r="I62" s="566">
        <v>0</v>
      </c>
      <c r="J62" s="566">
        <v>1814.84</v>
      </c>
      <c r="L62" s="223"/>
    </row>
    <row r="63" spans="1:12" ht="12.75">
      <c r="A63" s="558"/>
      <c r="B63" s="559">
        <v>83922</v>
      </c>
      <c r="C63" s="559">
        <v>8284605</v>
      </c>
      <c r="D63" s="559" t="s">
        <v>946</v>
      </c>
      <c r="E63" s="558"/>
      <c r="F63" s="559" t="s">
        <v>2763</v>
      </c>
      <c r="G63" s="559" t="s">
        <v>2764</v>
      </c>
      <c r="H63" s="559" t="s">
        <v>2754</v>
      </c>
      <c r="I63" s="566">
        <v>0</v>
      </c>
      <c r="J63" s="566">
        <v>205.97</v>
      </c>
      <c r="L63" s="223"/>
    </row>
    <row r="64" spans="1:12" ht="12.75">
      <c r="A64" s="558"/>
      <c r="B64" s="559">
        <v>83923</v>
      </c>
      <c r="C64" s="559">
        <v>8284710</v>
      </c>
      <c r="D64" s="559" t="s">
        <v>946</v>
      </c>
      <c r="E64" s="558"/>
      <c r="F64" s="559" t="s">
        <v>2763</v>
      </c>
      <c r="G64" s="559" t="s">
        <v>2764</v>
      </c>
      <c r="H64" s="559" t="s">
        <v>2754</v>
      </c>
      <c r="I64" s="566">
        <v>0</v>
      </c>
      <c r="J64" s="566">
        <v>122.19</v>
      </c>
      <c r="L64" s="223"/>
    </row>
    <row r="65" spans="1:12" ht="12.75">
      <c r="A65" s="558"/>
      <c r="B65" s="559">
        <v>83925</v>
      </c>
      <c r="C65" s="559">
        <v>8283372</v>
      </c>
      <c r="D65" s="559" t="s">
        <v>946</v>
      </c>
      <c r="E65" s="558"/>
      <c r="F65" s="559" t="s">
        <v>2761</v>
      </c>
      <c r="G65" s="559" t="s">
        <v>2762</v>
      </c>
      <c r="H65" s="559" t="s">
        <v>2754</v>
      </c>
      <c r="I65" s="566">
        <v>0</v>
      </c>
      <c r="J65" s="566">
        <v>294.63</v>
      </c>
      <c r="L65" s="223"/>
    </row>
    <row r="66" spans="1:12" ht="12.75">
      <c r="A66" s="558"/>
      <c r="B66" s="559">
        <v>83937</v>
      </c>
      <c r="C66" s="559">
        <v>8279956</v>
      </c>
      <c r="D66" s="559" t="s">
        <v>946</v>
      </c>
      <c r="E66" s="558"/>
      <c r="F66" s="559" t="s">
        <v>2759</v>
      </c>
      <c r="G66" s="559" t="s">
        <v>2760</v>
      </c>
      <c r="H66" s="559" t="s">
        <v>2754</v>
      </c>
      <c r="I66" s="566">
        <v>0</v>
      </c>
      <c r="J66" s="566">
        <v>1507.77</v>
      </c>
      <c r="L66" s="223"/>
    </row>
    <row r="67" spans="1:12" ht="12.75">
      <c r="A67" s="558"/>
      <c r="B67" s="559">
        <v>83938</v>
      </c>
      <c r="C67" s="559">
        <v>8281248</v>
      </c>
      <c r="D67" s="559" t="s">
        <v>946</v>
      </c>
      <c r="E67" s="558"/>
      <c r="F67" s="559" t="s">
        <v>2765</v>
      </c>
      <c r="G67" s="559" t="s">
        <v>2766</v>
      </c>
      <c r="H67" s="559" t="s">
        <v>2754</v>
      </c>
      <c r="I67" s="566">
        <v>0</v>
      </c>
      <c r="J67" s="566">
        <v>542.36</v>
      </c>
      <c r="L67" s="223"/>
    </row>
    <row r="68" spans="1:12" ht="12.75">
      <c r="A68" s="558"/>
      <c r="B68" s="559">
        <v>83939</v>
      </c>
      <c r="C68" s="559">
        <v>8281281</v>
      </c>
      <c r="D68" s="559" t="s">
        <v>946</v>
      </c>
      <c r="E68" s="558"/>
      <c r="F68" s="559" t="s">
        <v>2765</v>
      </c>
      <c r="G68" s="559" t="s">
        <v>2766</v>
      </c>
      <c r="H68" s="559" t="s">
        <v>2754</v>
      </c>
      <c r="I68" s="566">
        <v>0</v>
      </c>
      <c r="J68" s="566">
        <v>4192.43</v>
      </c>
      <c r="L68" s="223"/>
    </row>
    <row r="69" spans="1:12" ht="12.75">
      <c r="B69" s="559">
        <v>83951</v>
      </c>
      <c r="C69" s="559">
        <v>80902196</v>
      </c>
      <c r="D69" s="559" t="s">
        <v>946</v>
      </c>
      <c r="E69" s="558"/>
      <c r="F69" s="559" t="s">
        <v>2765</v>
      </c>
      <c r="G69" s="559" t="s">
        <v>2767</v>
      </c>
      <c r="H69" s="559" t="s">
        <v>2768</v>
      </c>
      <c r="I69" s="566">
        <v>0</v>
      </c>
      <c r="J69" s="566">
        <v>0.73</v>
      </c>
      <c r="L69" s="223"/>
    </row>
    <row r="70" spans="1:12" ht="12.75">
      <c r="B70" s="559">
        <v>83956</v>
      </c>
      <c r="C70" s="559">
        <v>8285492</v>
      </c>
      <c r="D70" s="559" t="s">
        <v>946</v>
      </c>
      <c r="E70" s="558"/>
      <c r="F70" s="559" t="s">
        <v>2769</v>
      </c>
      <c r="G70" s="559" t="s">
        <v>2770</v>
      </c>
      <c r="H70" s="559" t="s">
        <v>2754</v>
      </c>
      <c r="I70" s="566">
        <v>0</v>
      </c>
      <c r="J70" s="566">
        <v>5012.41</v>
      </c>
      <c r="L70" s="223"/>
    </row>
    <row r="71" spans="1:12" ht="12.75">
      <c r="B71" s="559">
        <v>83967</v>
      </c>
      <c r="C71" s="559">
        <v>8284728</v>
      </c>
      <c r="D71" s="559" t="s">
        <v>946</v>
      </c>
      <c r="E71" s="558"/>
      <c r="F71" s="559" t="s">
        <v>2763</v>
      </c>
      <c r="G71" s="559" t="s">
        <v>2764</v>
      </c>
      <c r="H71" s="559" t="s">
        <v>2754</v>
      </c>
      <c r="I71" s="566">
        <v>0</v>
      </c>
      <c r="J71" s="566">
        <v>2835.72</v>
      </c>
      <c r="L71" s="223"/>
    </row>
    <row r="72" spans="1:12" ht="12.75">
      <c r="B72" s="559">
        <v>84007</v>
      </c>
      <c r="C72" s="559">
        <v>80362144</v>
      </c>
      <c r="D72" s="559" t="s">
        <v>2721</v>
      </c>
      <c r="E72" s="558"/>
      <c r="F72" s="559" t="s">
        <v>2755</v>
      </c>
      <c r="G72" s="559" t="s">
        <v>2771</v>
      </c>
      <c r="H72" s="559" t="s">
        <v>2754</v>
      </c>
      <c r="I72" s="566">
        <v>0</v>
      </c>
      <c r="J72" s="566">
        <v>47.24</v>
      </c>
      <c r="L72" s="223"/>
    </row>
    <row r="73" spans="1:12" ht="12.75">
      <c r="B73" s="559">
        <v>84018</v>
      </c>
      <c r="C73" s="559">
        <v>8288632</v>
      </c>
      <c r="D73" s="559" t="s">
        <v>946</v>
      </c>
      <c r="E73" s="558"/>
      <c r="F73" s="559" t="s">
        <v>2772</v>
      </c>
      <c r="G73" s="559" t="s">
        <v>2773</v>
      </c>
      <c r="H73" s="559" t="s">
        <v>2754</v>
      </c>
      <c r="I73" s="566">
        <v>0</v>
      </c>
      <c r="J73" s="566">
        <v>5301.4</v>
      </c>
      <c r="L73" s="223"/>
    </row>
    <row r="74" spans="1:12" ht="12.75">
      <c r="B74" s="559">
        <v>84019</v>
      </c>
      <c r="C74" s="559">
        <v>8289722</v>
      </c>
      <c r="D74" s="559" t="s">
        <v>946</v>
      </c>
      <c r="E74" s="558"/>
      <c r="F74" s="559" t="s">
        <v>2774</v>
      </c>
      <c r="G74" s="559" t="s">
        <v>2775</v>
      </c>
      <c r="H74" s="559" t="s">
        <v>2754</v>
      </c>
      <c r="I74" s="566">
        <v>0</v>
      </c>
      <c r="J74" s="566">
        <v>687.08</v>
      </c>
      <c r="L74" s="223"/>
    </row>
    <row r="75" spans="1:12" ht="12.75">
      <c r="B75" s="559">
        <v>84020</v>
      </c>
      <c r="C75" s="559">
        <v>8289773</v>
      </c>
      <c r="D75" s="559" t="s">
        <v>946</v>
      </c>
      <c r="E75" s="558"/>
      <c r="F75" s="559" t="s">
        <v>2774</v>
      </c>
      <c r="G75" s="559" t="s">
        <v>2775</v>
      </c>
      <c r="H75" s="559" t="s">
        <v>2754</v>
      </c>
      <c r="I75" s="566">
        <v>0</v>
      </c>
      <c r="J75" s="566">
        <v>12804.39</v>
      </c>
      <c r="L75" s="223"/>
    </row>
    <row r="76" spans="1:12" ht="12.75">
      <c r="B76" s="559">
        <v>84044</v>
      </c>
      <c r="C76" s="559">
        <v>80365690</v>
      </c>
      <c r="D76" s="559" t="s">
        <v>2721</v>
      </c>
      <c r="E76" s="558"/>
      <c r="F76" s="559" t="s">
        <v>2776</v>
      </c>
      <c r="G76" s="559" t="s">
        <v>2777</v>
      </c>
      <c r="H76" s="559" t="s">
        <v>2754</v>
      </c>
      <c r="I76" s="566">
        <v>0</v>
      </c>
      <c r="J76" s="566">
        <v>108.41</v>
      </c>
      <c r="L76" s="223"/>
    </row>
    <row r="77" spans="1:12" ht="12.75">
      <c r="B77" s="559">
        <v>84047</v>
      </c>
      <c r="C77" s="559">
        <v>8295232</v>
      </c>
      <c r="D77" s="559" t="s">
        <v>946</v>
      </c>
      <c r="E77" s="558"/>
      <c r="F77" s="559" t="s">
        <v>2776</v>
      </c>
      <c r="G77" s="559" t="s">
        <v>2778</v>
      </c>
      <c r="H77" s="559" t="s">
        <v>2754</v>
      </c>
      <c r="I77" s="566">
        <v>0</v>
      </c>
      <c r="J77" s="566">
        <v>103.2</v>
      </c>
      <c r="L77" s="223"/>
    </row>
    <row r="78" spans="1:12" ht="12.75">
      <c r="B78" s="559">
        <v>84048</v>
      </c>
      <c r="C78" s="559">
        <v>8295221</v>
      </c>
      <c r="D78" s="559" t="s">
        <v>946</v>
      </c>
      <c r="E78" s="558"/>
      <c r="F78" s="559" t="s">
        <v>2776</v>
      </c>
      <c r="G78" s="559" t="s">
        <v>2778</v>
      </c>
      <c r="H78" s="559" t="s">
        <v>2754</v>
      </c>
      <c r="I78" s="566">
        <v>0</v>
      </c>
      <c r="J78" s="566">
        <v>608.78</v>
      </c>
      <c r="L78" s="223"/>
    </row>
    <row r="79" spans="1:12" ht="12.75">
      <c r="B79" s="559">
        <v>84049</v>
      </c>
      <c r="C79" s="559">
        <v>8295445</v>
      </c>
      <c r="D79" s="559" t="s">
        <v>946</v>
      </c>
      <c r="E79" s="558"/>
      <c r="F79" s="559" t="s">
        <v>2776</v>
      </c>
      <c r="G79" s="559" t="s">
        <v>2778</v>
      </c>
      <c r="H79" s="559" t="s">
        <v>2754</v>
      </c>
      <c r="I79" s="566">
        <v>0</v>
      </c>
      <c r="J79" s="566">
        <v>2172.0100000000002</v>
      </c>
      <c r="L79" s="223"/>
    </row>
    <row r="80" spans="1:12" ht="12.75">
      <c r="B80" s="559">
        <v>84050</v>
      </c>
      <c r="C80" s="559">
        <v>80365681</v>
      </c>
      <c r="D80" s="559" t="s">
        <v>946</v>
      </c>
      <c r="E80" s="558"/>
      <c r="F80" s="559" t="s">
        <v>2776</v>
      </c>
      <c r="G80" s="559" t="s">
        <v>2777</v>
      </c>
      <c r="H80" s="559" t="s">
        <v>2754</v>
      </c>
      <c r="I80" s="566">
        <v>0</v>
      </c>
      <c r="J80" s="566">
        <v>57.86</v>
      </c>
      <c r="L80" s="223"/>
    </row>
    <row r="81" spans="2:12" ht="12.75">
      <c r="B81" s="559">
        <v>84052</v>
      </c>
      <c r="C81" s="559">
        <v>80365480</v>
      </c>
      <c r="D81" s="559" t="s">
        <v>946</v>
      </c>
      <c r="E81" s="558"/>
      <c r="F81" s="559" t="s">
        <v>2779</v>
      </c>
      <c r="G81" s="559" t="s">
        <v>2780</v>
      </c>
      <c r="H81" s="559" t="s">
        <v>2754</v>
      </c>
      <c r="I81" s="566">
        <v>0</v>
      </c>
      <c r="J81" s="566">
        <v>3825.33</v>
      </c>
      <c r="L81" s="223"/>
    </row>
    <row r="82" spans="2:12" ht="12.75">
      <c r="B82" s="559">
        <v>84055</v>
      </c>
      <c r="C82" s="559">
        <v>8292021</v>
      </c>
      <c r="D82" s="559" t="s">
        <v>946</v>
      </c>
      <c r="E82" s="558"/>
      <c r="F82" s="559" t="s">
        <v>2779</v>
      </c>
      <c r="G82" s="559" t="s">
        <v>2781</v>
      </c>
      <c r="H82" s="559" t="s">
        <v>2754</v>
      </c>
      <c r="I82" s="566">
        <v>0</v>
      </c>
      <c r="J82" s="566">
        <v>1486.99</v>
      </c>
      <c r="L82" s="223"/>
    </row>
    <row r="83" spans="2:12" ht="12.75">
      <c r="B83" s="559">
        <v>84056</v>
      </c>
      <c r="C83" s="559">
        <v>8291953</v>
      </c>
      <c r="D83" s="559" t="s">
        <v>946</v>
      </c>
      <c r="E83" s="558"/>
      <c r="F83" s="559" t="s">
        <v>2779</v>
      </c>
      <c r="G83" s="559" t="s">
        <v>2781</v>
      </c>
      <c r="H83" s="559" t="s">
        <v>2754</v>
      </c>
      <c r="I83" s="566">
        <v>0</v>
      </c>
      <c r="J83" s="566">
        <v>12652.63</v>
      </c>
      <c r="L83" s="223"/>
    </row>
    <row r="84" spans="2:12" ht="12.75">
      <c r="B84" s="559">
        <v>84057</v>
      </c>
      <c r="C84" s="559">
        <v>8290773</v>
      </c>
      <c r="D84" s="559" t="s">
        <v>946</v>
      </c>
      <c r="E84" s="558"/>
      <c r="F84" s="559" t="s">
        <v>2782</v>
      </c>
      <c r="G84" s="559" t="s">
        <v>2783</v>
      </c>
      <c r="H84" s="559" t="s">
        <v>2754</v>
      </c>
      <c r="I84" s="566">
        <v>0</v>
      </c>
      <c r="J84" s="566">
        <v>7215.66</v>
      </c>
      <c r="L84" s="223"/>
    </row>
    <row r="85" spans="2:12" ht="12.75">
      <c r="B85" s="559">
        <v>84059</v>
      </c>
      <c r="C85" s="559">
        <v>80365182</v>
      </c>
      <c r="D85" s="559" t="s">
        <v>946</v>
      </c>
      <c r="E85" s="558"/>
      <c r="F85" s="559" t="s">
        <v>2782</v>
      </c>
      <c r="G85" s="559" t="s">
        <v>2784</v>
      </c>
      <c r="H85" s="559" t="s">
        <v>2754</v>
      </c>
      <c r="I85" s="566">
        <v>0</v>
      </c>
      <c r="J85" s="566">
        <v>387.17</v>
      </c>
      <c r="L85" s="223"/>
    </row>
    <row r="86" spans="2:12" ht="12.75">
      <c r="B86" s="559">
        <v>84060</v>
      </c>
      <c r="C86" s="559">
        <v>8290595</v>
      </c>
      <c r="D86" s="559" t="s">
        <v>946</v>
      </c>
      <c r="E86" s="558"/>
      <c r="F86" s="559" t="s">
        <v>2774</v>
      </c>
      <c r="G86" s="559" t="s">
        <v>2775</v>
      </c>
      <c r="H86" s="559" t="s">
        <v>2754</v>
      </c>
      <c r="I86" s="566">
        <v>0</v>
      </c>
      <c r="J86" s="566">
        <v>7936.57</v>
      </c>
      <c r="L86" s="223"/>
    </row>
    <row r="87" spans="2:12" ht="12.75">
      <c r="B87" s="559">
        <v>84063</v>
      </c>
      <c r="C87" s="559">
        <v>80365013</v>
      </c>
      <c r="D87" s="559" t="s">
        <v>946</v>
      </c>
      <c r="E87" s="558"/>
      <c r="F87" s="559" t="s">
        <v>2774</v>
      </c>
      <c r="G87" s="559" t="s">
        <v>2785</v>
      </c>
      <c r="H87" s="559" t="s">
        <v>2754</v>
      </c>
      <c r="I87" s="566">
        <v>0</v>
      </c>
      <c r="J87" s="566">
        <v>318.79000000000002</v>
      </c>
      <c r="L87" s="223"/>
    </row>
    <row r="88" spans="2:12" ht="12.75">
      <c r="B88" s="559">
        <v>84105</v>
      </c>
      <c r="C88" s="559">
        <v>8286635</v>
      </c>
      <c r="D88" s="559" t="s">
        <v>946</v>
      </c>
      <c r="E88" s="558"/>
      <c r="F88" s="559" t="s">
        <v>2769</v>
      </c>
      <c r="G88" s="559" t="s">
        <v>2770</v>
      </c>
      <c r="H88" s="559" t="s">
        <v>2754</v>
      </c>
      <c r="I88" s="566">
        <v>0</v>
      </c>
      <c r="J88" s="566">
        <v>4248.29</v>
      </c>
      <c r="L88" s="223"/>
    </row>
    <row r="89" spans="2:12" ht="12.75">
      <c r="B89" s="559">
        <v>84106</v>
      </c>
      <c r="C89" s="559">
        <v>8287291</v>
      </c>
      <c r="D89" s="559" t="s">
        <v>946</v>
      </c>
      <c r="E89" s="558"/>
      <c r="F89" s="559" t="s">
        <v>2786</v>
      </c>
      <c r="G89" s="559" t="s">
        <v>2787</v>
      </c>
      <c r="H89" s="559" t="s">
        <v>2754</v>
      </c>
      <c r="I89" s="566">
        <v>0</v>
      </c>
      <c r="J89" s="566">
        <v>1405.36</v>
      </c>
      <c r="L89" s="223"/>
    </row>
    <row r="90" spans="2:12" ht="12.75">
      <c r="B90" s="559">
        <v>90007</v>
      </c>
      <c r="C90" s="559">
        <v>90300593</v>
      </c>
      <c r="D90" s="559" t="s">
        <v>2721</v>
      </c>
      <c r="E90" s="558"/>
      <c r="F90" s="559" t="s">
        <v>2767</v>
      </c>
      <c r="G90" s="559" t="s">
        <v>2766</v>
      </c>
      <c r="H90" s="559" t="s">
        <v>2788</v>
      </c>
      <c r="I90" s="566">
        <v>0</v>
      </c>
      <c r="J90" s="566">
        <v>1562.83</v>
      </c>
      <c r="L90" s="223"/>
    </row>
    <row r="91" spans="2:12" ht="12.75">
      <c r="B91" s="559">
        <v>90012</v>
      </c>
      <c r="C91" s="559">
        <v>9003283</v>
      </c>
      <c r="D91" s="559" t="s">
        <v>946</v>
      </c>
      <c r="E91" s="558"/>
      <c r="F91" s="559" t="s">
        <v>2789</v>
      </c>
      <c r="G91" s="559" t="s">
        <v>2790</v>
      </c>
      <c r="H91" s="559" t="s">
        <v>2788</v>
      </c>
      <c r="I91" s="566">
        <v>0</v>
      </c>
      <c r="J91" s="566">
        <v>189.42</v>
      </c>
      <c r="L91" s="223"/>
    </row>
    <row r="92" spans="2:12" ht="12.75">
      <c r="B92" s="559">
        <v>90013</v>
      </c>
      <c r="C92" s="559">
        <v>9002386</v>
      </c>
      <c r="D92" s="559" t="s">
        <v>946</v>
      </c>
      <c r="E92" s="558"/>
      <c r="F92" s="559" t="s">
        <v>2767</v>
      </c>
      <c r="G92" s="559" t="s">
        <v>2791</v>
      </c>
      <c r="H92" s="559" t="s">
        <v>2788</v>
      </c>
      <c r="I92" s="566">
        <v>0</v>
      </c>
      <c r="J92" s="566">
        <v>3419.65</v>
      </c>
      <c r="L92" s="223"/>
    </row>
    <row r="93" spans="2:12" ht="12.75">
      <c r="B93" s="559">
        <v>90014</v>
      </c>
      <c r="C93" s="559">
        <v>9001775</v>
      </c>
      <c r="D93" s="559" t="s">
        <v>946</v>
      </c>
      <c r="E93" s="558"/>
      <c r="F93" s="559" t="s">
        <v>2792</v>
      </c>
      <c r="G93" s="559" t="s">
        <v>2793</v>
      </c>
      <c r="H93" s="559" t="s">
        <v>2788</v>
      </c>
      <c r="I93" s="566">
        <v>0</v>
      </c>
      <c r="J93" s="566">
        <v>15.28</v>
      </c>
      <c r="L93" s="223"/>
    </row>
    <row r="94" spans="2:12" ht="12.75">
      <c r="B94" s="559">
        <v>90015</v>
      </c>
      <c r="C94" s="559">
        <v>9001750</v>
      </c>
      <c r="D94" s="559" t="s">
        <v>946</v>
      </c>
      <c r="E94" s="558"/>
      <c r="F94" s="559" t="s">
        <v>2792</v>
      </c>
      <c r="G94" s="559" t="s">
        <v>2793</v>
      </c>
      <c r="H94" s="559" t="s">
        <v>2788</v>
      </c>
      <c r="I94" s="566">
        <v>0</v>
      </c>
      <c r="J94" s="566">
        <v>947.88</v>
      </c>
      <c r="L94" s="223"/>
    </row>
    <row r="95" spans="2:12" ht="12.75">
      <c r="B95" s="559">
        <v>90016</v>
      </c>
      <c r="C95" s="559">
        <v>9001395</v>
      </c>
      <c r="D95" s="559" t="s">
        <v>946</v>
      </c>
      <c r="E95" s="558"/>
      <c r="F95" s="559" t="s">
        <v>2792</v>
      </c>
      <c r="G95" s="559" t="s">
        <v>2793</v>
      </c>
      <c r="H95" s="559" t="s">
        <v>2788</v>
      </c>
      <c r="I95" s="566">
        <v>0</v>
      </c>
      <c r="J95" s="566">
        <v>1405.9</v>
      </c>
      <c r="L95" s="223"/>
    </row>
    <row r="96" spans="2:12" ht="12.75">
      <c r="B96" s="559">
        <v>90018</v>
      </c>
      <c r="C96" s="559">
        <v>90300493</v>
      </c>
      <c r="D96" s="559" t="s">
        <v>946</v>
      </c>
      <c r="E96" s="558"/>
      <c r="F96" s="559" t="s">
        <v>2767</v>
      </c>
      <c r="G96" s="559" t="s">
        <v>2766</v>
      </c>
      <c r="H96" s="559" t="s">
        <v>2788</v>
      </c>
      <c r="I96" s="566">
        <v>0</v>
      </c>
      <c r="J96" s="566">
        <v>471.27</v>
      </c>
      <c r="L96" s="223"/>
    </row>
    <row r="97" spans="2:12" ht="12.75">
      <c r="B97" s="559">
        <v>90068</v>
      </c>
      <c r="C97" s="559">
        <v>9006918</v>
      </c>
      <c r="D97" s="559" t="s">
        <v>946</v>
      </c>
      <c r="E97" s="558"/>
      <c r="F97" s="559" t="s">
        <v>2794</v>
      </c>
      <c r="G97" s="559" t="s">
        <v>2795</v>
      </c>
      <c r="H97" s="559" t="s">
        <v>2788</v>
      </c>
      <c r="I97" s="566">
        <v>0</v>
      </c>
      <c r="J97" s="566">
        <v>131.79</v>
      </c>
      <c r="L97" s="223"/>
    </row>
    <row r="98" spans="2:12" ht="12.75">
      <c r="B98" s="559">
        <v>90069</v>
      </c>
      <c r="C98" s="559">
        <v>9007747</v>
      </c>
      <c r="D98" s="559" t="s">
        <v>946</v>
      </c>
      <c r="E98" s="558"/>
      <c r="F98" s="559" t="s">
        <v>2796</v>
      </c>
      <c r="G98" s="559" t="s">
        <v>2797</v>
      </c>
      <c r="H98" s="559" t="s">
        <v>2788</v>
      </c>
      <c r="I98" s="566">
        <v>0</v>
      </c>
      <c r="J98" s="566">
        <v>671.69</v>
      </c>
      <c r="L98" s="223"/>
    </row>
    <row r="99" spans="2:12" ht="12.75">
      <c r="B99" s="559">
        <v>90070</v>
      </c>
      <c r="C99" s="559">
        <v>9007713</v>
      </c>
      <c r="D99" s="559" t="s">
        <v>946</v>
      </c>
      <c r="E99" s="558"/>
      <c r="F99" s="559" t="s">
        <v>2796</v>
      </c>
      <c r="G99" s="559" t="s">
        <v>2797</v>
      </c>
      <c r="H99" s="559" t="s">
        <v>2788</v>
      </c>
      <c r="I99" s="566">
        <v>0</v>
      </c>
      <c r="J99" s="566">
        <v>55.72</v>
      </c>
      <c r="L99" s="223"/>
    </row>
    <row r="100" spans="2:12" ht="12.75">
      <c r="B100" s="559">
        <v>90073</v>
      </c>
      <c r="C100" s="559">
        <v>90300747</v>
      </c>
      <c r="D100" s="559" t="s">
        <v>946</v>
      </c>
      <c r="E100" s="558"/>
      <c r="F100" s="559" t="s">
        <v>2789</v>
      </c>
      <c r="G100" s="559" t="s">
        <v>2798</v>
      </c>
      <c r="H100" s="559" t="s">
        <v>2788</v>
      </c>
      <c r="I100" s="566">
        <v>0</v>
      </c>
      <c r="J100" s="566">
        <v>2273.6</v>
      </c>
      <c r="L100" s="223"/>
    </row>
    <row r="101" spans="2:12" ht="12.75">
      <c r="B101" s="559">
        <v>90074</v>
      </c>
      <c r="C101" s="559">
        <v>90300985</v>
      </c>
      <c r="D101" s="559" t="s">
        <v>946</v>
      </c>
      <c r="E101" s="558"/>
      <c r="F101" s="559" t="s">
        <v>2799</v>
      </c>
      <c r="G101" s="559" t="s">
        <v>2800</v>
      </c>
      <c r="H101" s="559" t="s">
        <v>2788</v>
      </c>
      <c r="I101" s="566">
        <v>0</v>
      </c>
      <c r="J101" s="566">
        <v>1352.89</v>
      </c>
      <c r="L101" s="223"/>
    </row>
    <row r="102" spans="2:12" ht="12.75">
      <c r="B102" s="559">
        <v>90075</v>
      </c>
      <c r="C102" s="559">
        <v>9005942</v>
      </c>
      <c r="D102" s="559" t="s">
        <v>946</v>
      </c>
      <c r="E102" s="558"/>
      <c r="F102" s="559" t="s">
        <v>2801</v>
      </c>
      <c r="G102" s="559" t="s">
        <v>2802</v>
      </c>
      <c r="H102" s="559" t="s">
        <v>2788</v>
      </c>
      <c r="I102" s="566">
        <v>0</v>
      </c>
      <c r="J102" s="566">
        <v>2467.34</v>
      </c>
      <c r="L102" s="223"/>
    </row>
    <row r="103" spans="2:12" ht="12.75">
      <c r="B103" s="559">
        <v>90076</v>
      </c>
      <c r="C103" s="559">
        <v>9003298</v>
      </c>
      <c r="D103" s="559" t="s">
        <v>946</v>
      </c>
      <c r="E103" s="558"/>
      <c r="F103" s="559" t="s">
        <v>2789</v>
      </c>
      <c r="G103" s="559" t="s">
        <v>2790</v>
      </c>
      <c r="H103" s="559" t="s">
        <v>2788</v>
      </c>
      <c r="I103" s="566">
        <v>0</v>
      </c>
      <c r="J103" s="566">
        <v>1793.64</v>
      </c>
      <c r="L103" s="223"/>
    </row>
    <row r="104" spans="2:12" ht="12.75">
      <c r="B104" s="559">
        <v>90083</v>
      </c>
      <c r="C104" s="559">
        <v>90302205</v>
      </c>
      <c r="D104" s="559" t="s">
        <v>2721</v>
      </c>
      <c r="E104" s="558"/>
      <c r="F104" s="559" t="s">
        <v>2803</v>
      </c>
      <c r="G104" s="559" t="s">
        <v>2804</v>
      </c>
      <c r="H104" s="559" t="s">
        <v>2788</v>
      </c>
      <c r="I104" s="566">
        <v>0</v>
      </c>
      <c r="J104" s="566">
        <v>724.73</v>
      </c>
      <c r="L104" s="223"/>
    </row>
    <row r="105" spans="2:12" ht="12.75">
      <c r="B105" s="559">
        <v>90099</v>
      </c>
      <c r="C105" s="559">
        <v>9009556</v>
      </c>
      <c r="D105" s="559" t="s">
        <v>946</v>
      </c>
      <c r="E105" s="558"/>
      <c r="F105" s="559" t="s">
        <v>2803</v>
      </c>
      <c r="G105" s="559" t="s">
        <v>2805</v>
      </c>
      <c r="H105" s="559" t="s">
        <v>2788</v>
      </c>
      <c r="I105" s="566">
        <v>0</v>
      </c>
      <c r="J105" s="566">
        <v>2159.8200000000002</v>
      </c>
      <c r="L105" s="223"/>
    </row>
    <row r="106" spans="2:12" ht="12.75">
      <c r="B106" s="559">
        <v>90100</v>
      </c>
      <c r="C106" s="559">
        <v>9003310</v>
      </c>
      <c r="D106" s="559" t="s">
        <v>946</v>
      </c>
      <c r="E106" s="558"/>
      <c r="F106" s="559" t="s">
        <v>2789</v>
      </c>
      <c r="G106" s="559" t="s">
        <v>2790</v>
      </c>
      <c r="H106" s="559" t="s">
        <v>2788</v>
      </c>
      <c r="I106" s="566">
        <v>0</v>
      </c>
      <c r="J106" s="566">
        <v>428.25</v>
      </c>
      <c r="L106" s="223"/>
    </row>
    <row r="107" spans="2:12" ht="12.75">
      <c r="B107" s="559">
        <v>90101</v>
      </c>
      <c r="C107" s="559">
        <v>9003309</v>
      </c>
      <c r="D107" s="559" t="s">
        <v>946</v>
      </c>
      <c r="E107" s="558"/>
      <c r="F107" s="559" t="s">
        <v>2789</v>
      </c>
      <c r="G107" s="559" t="s">
        <v>2790</v>
      </c>
      <c r="H107" s="559" t="s">
        <v>2788</v>
      </c>
      <c r="I107" s="566">
        <v>0</v>
      </c>
      <c r="J107" s="566">
        <v>45.84</v>
      </c>
      <c r="L107" s="223"/>
    </row>
    <row r="108" spans="2:12" ht="12.75">
      <c r="B108" s="559">
        <v>90102</v>
      </c>
      <c r="C108" s="559">
        <v>9008647</v>
      </c>
      <c r="D108" s="559" t="s">
        <v>946</v>
      </c>
      <c r="E108" s="558"/>
      <c r="F108" s="559" t="s">
        <v>2806</v>
      </c>
      <c r="G108" s="559" t="s">
        <v>2807</v>
      </c>
      <c r="H108" s="559" t="s">
        <v>2788</v>
      </c>
      <c r="I108" s="566">
        <v>0</v>
      </c>
      <c r="J108" s="566">
        <v>3051.85</v>
      </c>
      <c r="L108" s="223"/>
    </row>
    <row r="109" spans="2:12" ht="12.75">
      <c r="B109" s="559">
        <v>90103</v>
      </c>
      <c r="C109" s="559">
        <v>9008652</v>
      </c>
      <c r="D109" s="559" t="s">
        <v>946</v>
      </c>
      <c r="E109" s="558"/>
      <c r="F109" s="559" t="s">
        <v>2806</v>
      </c>
      <c r="G109" s="559" t="s">
        <v>2807</v>
      </c>
      <c r="H109" s="559" t="s">
        <v>2788</v>
      </c>
      <c r="I109" s="566">
        <v>0</v>
      </c>
      <c r="J109" s="566">
        <v>170.91</v>
      </c>
      <c r="L109" s="223"/>
    </row>
    <row r="110" spans="2:12" ht="12.75">
      <c r="B110" s="559">
        <v>90104</v>
      </c>
      <c r="C110" s="559">
        <v>9008709</v>
      </c>
      <c r="D110" s="559" t="s">
        <v>946</v>
      </c>
      <c r="E110" s="558"/>
      <c r="F110" s="559" t="s">
        <v>2806</v>
      </c>
      <c r="G110" s="559" t="s">
        <v>2807</v>
      </c>
      <c r="H110" s="559" t="s">
        <v>2788</v>
      </c>
      <c r="I110" s="566">
        <v>0</v>
      </c>
      <c r="J110" s="566">
        <v>32.96</v>
      </c>
      <c r="L110" s="223"/>
    </row>
    <row r="111" spans="2:12" ht="12.75">
      <c r="B111" s="559">
        <v>90105</v>
      </c>
      <c r="C111" s="559">
        <v>90302036</v>
      </c>
      <c r="D111" s="559" t="s">
        <v>946</v>
      </c>
      <c r="E111" s="558"/>
      <c r="F111" s="559" t="s">
        <v>2806</v>
      </c>
      <c r="G111" s="559" t="s">
        <v>2773</v>
      </c>
      <c r="H111" s="559" t="s">
        <v>2788</v>
      </c>
      <c r="I111" s="566">
        <v>0</v>
      </c>
      <c r="J111" s="566">
        <v>392.47</v>
      </c>
      <c r="L111" s="223"/>
    </row>
    <row r="112" spans="2:12" ht="12.75">
      <c r="B112" s="559">
        <v>90116</v>
      </c>
      <c r="C112" s="559">
        <v>90301444</v>
      </c>
      <c r="D112" s="559" t="s">
        <v>2721</v>
      </c>
      <c r="E112" s="558"/>
      <c r="F112" s="559" t="s">
        <v>2794</v>
      </c>
      <c r="G112" s="559" t="s">
        <v>2770</v>
      </c>
      <c r="H112" s="559" t="s">
        <v>2788</v>
      </c>
      <c r="I112" s="566">
        <v>0</v>
      </c>
      <c r="J112" s="566">
        <v>1094.81</v>
      </c>
      <c r="L112" s="223"/>
    </row>
    <row r="113" spans="2:12" ht="12.75">
      <c r="B113" s="559">
        <v>90130</v>
      </c>
      <c r="C113" s="559">
        <v>9011244</v>
      </c>
      <c r="D113" s="559" t="s">
        <v>946</v>
      </c>
      <c r="E113" s="558"/>
      <c r="F113" s="559" t="s">
        <v>2808</v>
      </c>
      <c r="G113" s="559" t="s">
        <v>2809</v>
      </c>
      <c r="H113" s="559" t="s">
        <v>2788</v>
      </c>
      <c r="I113" s="566">
        <v>0</v>
      </c>
      <c r="J113" s="566">
        <v>1681.24</v>
      </c>
      <c r="L113" s="223"/>
    </row>
    <row r="114" spans="2:12" ht="12.75">
      <c r="B114" s="559">
        <v>90142</v>
      </c>
      <c r="C114" s="559">
        <v>9012273</v>
      </c>
      <c r="D114" s="559" t="s">
        <v>946</v>
      </c>
      <c r="E114" s="558"/>
      <c r="F114" s="559" t="s">
        <v>2810</v>
      </c>
      <c r="G114" s="559" t="s">
        <v>2811</v>
      </c>
      <c r="H114" s="559" t="s">
        <v>2788</v>
      </c>
      <c r="I114" s="566">
        <v>0</v>
      </c>
      <c r="J114" s="566">
        <v>518.1</v>
      </c>
      <c r="L114" s="223"/>
    </row>
    <row r="115" spans="2:12" ht="12.75">
      <c r="B115" s="559">
        <v>90159</v>
      </c>
      <c r="C115" s="559">
        <v>90303023</v>
      </c>
      <c r="D115" s="559" t="s">
        <v>2721</v>
      </c>
      <c r="E115" s="558"/>
      <c r="F115" s="559" t="s">
        <v>2812</v>
      </c>
      <c r="G115" s="559" t="s">
        <v>2813</v>
      </c>
      <c r="H115" s="559" t="s">
        <v>2788</v>
      </c>
      <c r="I115" s="566">
        <v>0</v>
      </c>
      <c r="J115" s="566">
        <v>948.27</v>
      </c>
      <c r="L115" s="223"/>
    </row>
    <row r="116" spans="2:12" ht="12.75">
      <c r="B116" s="559">
        <v>90163</v>
      </c>
      <c r="C116" s="559">
        <v>90302667</v>
      </c>
      <c r="D116" s="559" t="s">
        <v>946</v>
      </c>
      <c r="E116" s="558"/>
      <c r="F116" s="559" t="s">
        <v>2810</v>
      </c>
      <c r="G116" s="559" t="s">
        <v>2781</v>
      </c>
      <c r="H116" s="559" t="s">
        <v>2788</v>
      </c>
      <c r="I116" s="566">
        <v>0</v>
      </c>
      <c r="J116" s="566">
        <v>3035.63</v>
      </c>
      <c r="L116" s="223"/>
    </row>
    <row r="117" spans="2:12" ht="12.75">
      <c r="B117" s="559">
        <v>90164</v>
      </c>
      <c r="C117" s="559">
        <v>9013162</v>
      </c>
      <c r="D117" s="559" t="s">
        <v>946</v>
      </c>
      <c r="E117" s="558"/>
      <c r="F117" s="559" t="s">
        <v>2814</v>
      </c>
      <c r="G117" s="559" t="s">
        <v>2815</v>
      </c>
      <c r="H117" s="559" t="s">
        <v>2788</v>
      </c>
      <c r="I117" s="566">
        <v>0</v>
      </c>
      <c r="J117" s="566">
        <v>213.08</v>
      </c>
      <c r="L117" s="223"/>
    </row>
    <row r="118" spans="2:12" ht="12.75">
      <c r="B118" s="559">
        <v>90165</v>
      </c>
      <c r="C118" s="559">
        <v>9013895</v>
      </c>
      <c r="D118" s="559" t="s">
        <v>946</v>
      </c>
      <c r="E118" s="558"/>
      <c r="F118" s="559" t="s">
        <v>2814</v>
      </c>
      <c r="G118" s="559" t="s">
        <v>2815</v>
      </c>
      <c r="H118" s="559" t="s">
        <v>2788</v>
      </c>
      <c r="I118" s="566">
        <v>0</v>
      </c>
      <c r="J118" s="566">
        <v>5229.74</v>
      </c>
      <c r="L118" s="223"/>
    </row>
    <row r="119" spans="2:12" ht="12.75">
      <c r="B119" s="559">
        <v>90166</v>
      </c>
      <c r="C119" s="559">
        <v>9013123</v>
      </c>
      <c r="D119" s="559" t="s">
        <v>946</v>
      </c>
      <c r="E119" s="558"/>
      <c r="F119" s="559" t="s">
        <v>2814</v>
      </c>
      <c r="G119" s="559" t="s">
        <v>2815</v>
      </c>
      <c r="H119" s="559" t="s">
        <v>2788</v>
      </c>
      <c r="I119" s="566">
        <v>0</v>
      </c>
      <c r="J119" s="566">
        <v>26.26</v>
      </c>
      <c r="L119" s="223"/>
    </row>
    <row r="120" spans="2:12" ht="12.75">
      <c r="B120" s="559">
        <v>90167</v>
      </c>
      <c r="C120" s="559">
        <v>9013994</v>
      </c>
      <c r="D120" s="559" t="s">
        <v>946</v>
      </c>
      <c r="E120" s="558"/>
      <c r="F120" s="559" t="s">
        <v>2812</v>
      </c>
      <c r="G120" s="559" t="s">
        <v>2816</v>
      </c>
      <c r="H120" s="559" t="s">
        <v>2788</v>
      </c>
      <c r="I120" s="566">
        <v>0</v>
      </c>
      <c r="J120" s="566">
        <v>78.209999999999994</v>
      </c>
      <c r="L120" s="223"/>
    </row>
    <row r="121" spans="2:12" ht="12.75">
      <c r="B121" s="559">
        <v>90168</v>
      </c>
      <c r="C121" s="559">
        <v>90302660</v>
      </c>
      <c r="D121" s="559" t="s">
        <v>946</v>
      </c>
      <c r="E121" s="558"/>
      <c r="F121" s="559" t="s">
        <v>2810</v>
      </c>
      <c r="G121" s="559" t="s">
        <v>2781</v>
      </c>
      <c r="H121" s="559" t="s">
        <v>2788</v>
      </c>
      <c r="I121" s="566">
        <v>0</v>
      </c>
      <c r="J121" s="566">
        <v>155.46</v>
      </c>
      <c r="L121" s="223"/>
    </row>
    <row r="122" spans="2:12" ht="12.75">
      <c r="B122" s="559">
        <v>90184</v>
      </c>
      <c r="C122" s="559">
        <v>9013992</v>
      </c>
      <c r="D122" s="559" t="s">
        <v>946</v>
      </c>
      <c r="E122" s="558"/>
      <c r="F122" s="559" t="s">
        <v>2812</v>
      </c>
      <c r="G122" s="559" t="s">
        <v>2816</v>
      </c>
      <c r="H122" s="559" t="s">
        <v>2788</v>
      </c>
      <c r="I122" s="566">
        <v>0</v>
      </c>
      <c r="J122" s="566">
        <v>50.44</v>
      </c>
      <c r="L122" s="223"/>
    </row>
    <row r="123" spans="2:12" ht="12.75">
      <c r="B123" s="559">
        <v>90189</v>
      </c>
      <c r="C123" s="559">
        <v>90303345</v>
      </c>
      <c r="D123" s="559" t="s">
        <v>2721</v>
      </c>
      <c r="E123" s="558"/>
      <c r="F123" s="559" t="s">
        <v>2817</v>
      </c>
      <c r="G123" s="559" t="s">
        <v>2818</v>
      </c>
      <c r="H123" s="559" t="s">
        <v>2788</v>
      </c>
      <c r="I123" s="566">
        <v>0</v>
      </c>
      <c r="J123" s="566">
        <v>62.59</v>
      </c>
      <c r="L123" s="223"/>
    </row>
    <row r="124" spans="2:12" ht="12.75">
      <c r="B124" s="559">
        <v>90190</v>
      </c>
      <c r="C124" s="559">
        <v>90303323</v>
      </c>
      <c r="D124" s="559" t="s">
        <v>2721</v>
      </c>
      <c r="E124" s="558"/>
      <c r="F124" s="559" t="s">
        <v>2817</v>
      </c>
      <c r="G124" s="559" t="s">
        <v>2818</v>
      </c>
      <c r="H124" s="559" t="s">
        <v>2788</v>
      </c>
      <c r="I124" s="566">
        <v>0</v>
      </c>
      <c r="J124" s="566">
        <v>60.08</v>
      </c>
      <c r="L124" s="223"/>
    </row>
    <row r="125" spans="2:12" ht="12.75">
      <c r="B125" s="559">
        <v>90198</v>
      </c>
      <c r="C125" s="559">
        <v>90303552</v>
      </c>
      <c r="D125" s="559" t="s">
        <v>2721</v>
      </c>
      <c r="E125" s="558"/>
      <c r="F125" s="559" t="s">
        <v>2819</v>
      </c>
      <c r="G125" s="559" t="s">
        <v>2820</v>
      </c>
      <c r="H125" s="559" t="s">
        <v>2788</v>
      </c>
      <c r="I125" s="566">
        <v>0</v>
      </c>
      <c r="J125" s="566">
        <v>114.42</v>
      </c>
      <c r="L125" s="223"/>
    </row>
    <row r="126" spans="2:12" ht="12.75">
      <c r="B126" s="559">
        <v>90211</v>
      </c>
      <c r="C126" s="559">
        <v>90303095</v>
      </c>
      <c r="D126" s="559" t="s">
        <v>946</v>
      </c>
      <c r="E126" s="558"/>
      <c r="F126" s="559" t="s">
        <v>2812</v>
      </c>
      <c r="G126" s="559" t="s">
        <v>2813</v>
      </c>
      <c r="H126" s="559" t="s">
        <v>2788</v>
      </c>
      <c r="I126" s="566">
        <v>0</v>
      </c>
      <c r="J126" s="566">
        <v>1787.38</v>
      </c>
      <c r="L126" s="223"/>
    </row>
    <row r="127" spans="2:12" ht="12.75">
      <c r="B127" s="559">
        <v>90214</v>
      </c>
      <c r="C127" s="559">
        <v>9016752</v>
      </c>
      <c r="D127" s="559" t="s">
        <v>946</v>
      </c>
      <c r="E127" s="558"/>
      <c r="F127" s="559" t="s">
        <v>2819</v>
      </c>
      <c r="G127" s="559" t="s">
        <v>2821</v>
      </c>
      <c r="H127" s="559" t="s">
        <v>2788</v>
      </c>
      <c r="I127" s="566">
        <v>0</v>
      </c>
      <c r="J127" s="566">
        <v>522.46</v>
      </c>
      <c r="L127" s="223"/>
    </row>
    <row r="128" spans="2:12" ht="12.75">
      <c r="B128" s="559">
        <v>90233</v>
      </c>
      <c r="C128" s="559">
        <v>90304292</v>
      </c>
      <c r="D128" s="559" t="s">
        <v>2721</v>
      </c>
      <c r="E128" s="558"/>
      <c r="F128" s="559" t="s">
        <v>2822</v>
      </c>
      <c r="G128" s="559" t="s">
        <v>2823</v>
      </c>
      <c r="H128" s="559" t="s">
        <v>2788</v>
      </c>
      <c r="I128" s="566">
        <v>0</v>
      </c>
      <c r="J128" s="566">
        <v>373.98</v>
      </c>
      <c r="L128" s="223"/>
    </row>
    <row r="129" spans="2:12" ht="12.75">
      <c r="B129" s="559">
        <v>90245</v>
      </c>
      <c r="C129" s="559">
        <v>9018929</v>
      </c>
      <c r="D129" s="559" t="s">
        <v>946</v>
      </c>
      <c r="E129" s="558"/>
      <c r="F129" s="559" t="s">
        <v>2824</v>
      </c>
      <c r="G129" s="559" t="s">
        <v>2825</v>
      </c>
      <c r="H129" s="559" t="s">
        <v>2788</v>
      </c>
      <c r="I129" s="566">
        <v>0</v>
      </c>
      <c r="J129" s="566">
        <v>961.83</v>
      </c>
      <c r="L129" s="223"/>
    </row>
    <row r="130" spans="2:12" ht="12.75">
      <c r="B130" s="559">
        <v>90246</v>
      </c>
      <c r="C130" s="559">
        <v>9017924</v>
      </c>
      <c r="D130" s="559" t="s">
        <v>946</v>
      </c>
      <c r="E130" s="558"/>
      <c r="F130" s="559" t="s">
        <v>2826</v>
      </c>
      <c r="G130" s="559" t="s">
        <v>2827</v>
      </c>
      <c r="H130" s="559" t="s">
        <v>2788</v>
      </c>
      <c r="I130" s="566">
        <v>0</v>
      </c>
      <c r="J130" s="566">
        <v>812.28</v>
      </c>
      <c r="L130" s="223"/>
    </row>
    <row r="131" spans="2:12" ht="12.75">
      <c r="B131" s="559">
        <v>90265</v>
      </c>
      <c r="C131" s="559">
        <v>9020494</v>
      </c>
      <c r="D131" s="559" t="s">
        <v>946</v>
      </c>
      <c r="E131" s="558"/>
      <c r="F131" s="559" t="s">
        <v>2822</v>
      </c>
      <c r="G131" s="559" t="s">
        <v>2828</v>
      </c>
      <c r="H131" s="559" t="s">
        <v>2788</v>
      </c>
      <c r="I131" s="566">
        <v>0</v>
      </c>
      <c r="J131" s="566">
        <v>1573.54</v>
      </c>
      <c r="L131" s="223"/>
    </row>
    <row r="132" spans="2:12" ht="12.75">
      <c r="B132" s="559">
        <v>90266</v>
      </c>
      <c r="C132" s="559">
        <v>9020506</v>
      </c>
      <c r="D132" s="559" t="s">
        <v>946</v>
      </c>
      <c r="E132" s="558"/>
      <c r="F132" s="559" t="s">
        <v>2822</v>
      </c>
      <c r="G132" s="559" t="s">
        <v>2828</v>
      </c>
      <c r="H132" s="559" t="s">
        <v>2788</v>
      </c>
      <c r="I132" s="566">
        <v>0</v>
      </c>
      <c r="J132" s="566">
        <v>32.85</v>
      </c>
      <c r="L132" s="223"/>
    </row>
    <row r="133" spans="2:12" ht="12.75">
      <c r="B133" s="559">
        <v>90267</v>
      </c>
      <c r="C133" s="559">
        <v>9020362</v>
      </c>
      <c r="D133" s="559" t="s">
        <v>946</v>
      </c>
      <c r="E133" s="558"/>
      <c r="F133" s="559" t="s">
        <v>2822</v>
      </c>
      <c r="G133" s="559" t="s">
        <v>2828</v>
      </c>
      <c r="H133" s="559" t="s">
        <v>2788</v>
      </c>
      <c r="I133" s="566">
        <v>0</v>
      </c>
      <c r="J133" s="566">
        <v>36.33</v>
      </c>
      <c r="L133" s="223"/>
    </row>
    <row r="134" spans="2:12" ht="12.75">
      <c r="B134" s="559">
        <v>90268</v>
      </c>
      <c r="C134" s="559">
        <v>9019922</v>
      </c>
      <c r="D134" s="559" t="s">
        <v>946</v>
      </c>
      <c r="E134" s="558"/>
      <c r="F134" s="559" t="s">
        <v>2822</v>
      </c>
      <c r="G134" s="559" t="s">
        <v>2828</v>
      </c>
      <c r="H134" s="559" t="s">
        <v>2788</v>
      </c>
      <c r="I134" s="566">
        <v>0</v>
      </c>
      <c r="J134" s="566">
        <v>609.62</v>
      </c>
      <c r="L134" s="223"/>
    </row>
    <row r="135" spans="2:12" ht="12.75">
      <c r="B135" s="559">
        <v>90269</v>
      </c>
      <c r="C135" s="559">
        <v>90303256</v>
      </c>
      <c r="D135" s="559" t="s">
        <v>946</v>
      </c>
      <c r="E135" s="558"/>
      <c r="F135" s="559" t="s">
        <v>2817</v>
      </c>
      <c r="G135" s="559" t="s">
        <v>2818</v>
      </c>
      <c r="H135" s="559" t="s">
        <v>2788</v>
      </c>
      <c r="I135" s="566">
        <v>0</v>
      </c>
      <c r="J135" s="566">
        <v>2699.57</v>
      </c>
      <c r="L135" s="223"/>
    </row>
    <row r="136" spans="2:12" ht="12.75">
      <c r="B136" s="559">
        <v>90351</v>
      </c>
      <c r="C136" s="559">
        <v>90304776</v>
      </c>
      <c r="D136" s="559" t="s">
        <v>946</v>
      </c>
      <c r="E136" s="558"/>
      <c r="F136" s="559" t="s">
        <v>2829</v>
      </c>
      <c r="G136" s="559" t="s">
        <v>2830</v>
      </c>
      <c r="H136" s="559" t="s">
        <v>2831</v>
      </c>
      <c r="I136" s="566">
        <v>0</v>
      </c>
      <c r="J136" s="566">
        <v>2069.15</v>
      </c>
      <c r="L136" s="223"/>
    </row>
    <row r="137" spans="2:12" ht="12.75">
      <c r="B137" s="559">
        <v>90352</v>
      </c>
      <c r="C137" s="559">
        <v>90305359</v>
      </c>
      <c r="D137" s="559" t="s">
        <v>946</v>
      </c>
      <c r="E137" s="558"/>
      <c r="F137" s="559" t="s">
        <v>2832</v>
      </c>
      <c r="G137" s="559" t="s">
        <v>2793</v>
      </c>
      <c r="H137" s="559" t="s">
        <v>2831</v>
      </c>
      <c r="I137" s="566">
        <v>0</v>
      </c>
      <c r="J137" s="566">
        <v>590.34</v>
      </c>
      <c r="L137" s="223"/>
    </row>
    <row r="138" spans="2:12" ht="12.75">
      <c r="B138" s="559">
        <v>90353</v>
      </c>
      <c r="C138" s="559">
        <v>90305325</v>
      </c>
      <c r="D138" s="559" t="s">
        <v>946</v>
      </c>
      <c r="E138" s="558"/>
      <c r="F138" s="559" t="s">
        <v>2833</v>
      </c>
      <c r="G138" s="559" t="s">
        <v>2834</v>
      </c>
      <c r="H138" s="559" t="s">
        <v>2831</v>
      </c>
      <c r="I138" s="566">
        <v>0</v>
      </c>
      <c r="J138" s="566">
        <v>2951.37</v>
      </c>
      <c r="L138" s="223"/>
    </row>
    <row r="139" spans="2:12" ht="12.75">
      <c r="B139" s="559">
        <v>90366</v>
      </c>
      <c r="C139" s="559">
        <v>90305717</v>
      </c>
      <c r="D139" s="559" t="s">
        <v>946</v>
      </c>
      <c r="E139" s="558"/>
      <c r="F139" s="559" t="s">
        <v>2835</v>
      </c>
      <c r="G139" s="559" t="s">
        <v>2836</v>
      </c>
      <c r="H139" s="559" t="s">
        <v>2831</v>
      </c>
      <c r="I139" s="566">
        <v>0</v>
      </c>
      <c r="J139" s="566">
        <v>1550.39</v>
      </c>
      <c r="L139" s="223"/>
    </row>
    <row r="140" spans="2:12" ht="12.75">
      <c r="B140" s="559">
        <v>90367</v>
      </c>
      <c r="C140" s="559">
        <v>90305595</v>
      </c>
      <c r="D140" s="559" t="s">
        <v>946</v>
      </c>
      <c r="E140" s="558"/>
      <c r="F140" s="559" t="s">
        <v>2835</v>
      </c>
      <c r="G140" s="559" t="s">
        <v>2836</v>
      </c>
      <c r="H140" s="559" t="s">
        <v>2831</v>
      </c>
      <c r="I140" s="566">
        <v>0</v>
      </c>
      <c r="J140" s="566">
        <v>990.8</v>
      </c>
      <c r="L140" s="223"/>
    </row>
    <row r="141" spans="2:12" ht="12.75">
      <c r="B141" s="559">
        <v>90368</v>
      </c>
      <c r="C141" s="559">
        <v>90305574</v>
      </c>
      <c r="D141" s="559" t="s">
        <v>946</v>
      </c>
      <c r="E141" s="558"/>
      <c r="F141" s="559" t="s">
        <v>2835</v>
      </c>
      <c r="G141" s="559" t="s">
        <v>2836</v>
      </c>
      <c r="H141" s="559" t="s">
        <v>2831</v>
      </c>
      <c r="I141" s="566">
        <v>0</v>
      </c>
      <c r="J141" s="566">
        <v>667</v>
      </c>
      <c r="L141" s="223"/>
    </row>
    <row r="142" spans="2:12" ht="12.75">
      <c r="B142" s="559">
        <v>90369</v>
      </c>
      <c r="C142" s="559">
        <v>90305477</v>
      </c>
      <c r="D142" s="559" t="s">
        <v>946</v>
      </c>
      <c r="E142" s="558"/>
      <c r="F142" s="559" t="s">
        <v>2832</v>
      </c>
      <c r="G142" s="559" t="s">
        <v>2793</v>
      </c>
      <c r="H142" s="559" t="s">
        <v>2831</v>
      </c>
      <c r="I142" s="566">
        <v>0</v>
      </c>
      <c r="J142" s="566">
        <v>1271.6300000000001</v>
      </c>
      <c r="L142" s="223"/>
    </row>
    <row r="143" spans="2:12" ht="12.75">
      <c r="B143" s="559">
        <v>90465</v>
      </c>
      <c r="C143" s="559">
        <v>90307306</v>
      </c>
      <c r="D143" s="559" t="s">
        <v>946</v>
      </c>
      <c r="E143" s="558"/>
      <c r="F143" s="559" t="s">
        <v>2837</v>
      </c>
      <c r="G143" s="559" t="s">
        <v>2838</v>
      </c>
      <c r="H143" s="559" t="s">
        <v>2831</v>
      </c>
      <c r="I143" s="566">
        <v>0</v>
      </c>
      <c r="J143" s="566">
        <v>19.75</v>
      </c>
      <c r="L143" s="223"/>
    </row>
    <row r="144" spans="2:12" ht="12.75">
      <c r="B144" s="559">
        <v>90466</v>
      </c>
      <c r="C144" s="559">
        <v>90307325</v>
      </c>
      <c r="D144" s="559" t="s">
        <v>946</v>
      </c>
      <c r="E144" s="558"/>
      <c r="F144" s="559" t="s">
        <v>2837</v>
      </c>
      <c r="G144" s="559" t="s">
        <v>2838</v>
      </c>
      <c r="H144" s="559" t="s">
        <v>2831</v>
      </c>
      <c r="I144" s="566">
        <v>0</v>
      </c>
      <c r="J144" s="566">
        <v>680.01</v>
      </c>
      <c r="L144" s="223"/>
    </row>
    <row r="145" spans="2:12" ht="12.75">
      <c r="B145" s="559">
        <v>90467</v>
      </c>
      <c r="C145" s="559">
        <v>90307473</v>
      </c>
      <c r="D145" s="559" t="s">
        <v>946</v>
      </c>
      <c r="E145" s="558"/>
      <c r="F145" s="559" t="s">
        <v>2837</v>
      </c>
      <c r="G145" s="559" t="s">
        <v>2838</v>
      </c>
      <c r="H145" s="559" t="s">
        <v>2831</v>
      </c>
      <c r="I145" s="566">
        <v>0</v>
      </c>
      <c r="J145" s="566">
        <v>815.32</v>
      </c>
      <c r="L145" s="223"/>
    </row>
    <row r="146" spans="2:12" ht="12.75">
      <c r="B146" s="559">
        <v>90470</v>
      </c>
      <c r="C146" s="559">
        <v>90306017</v>
      </c>
      <c r="D146" s="559" t="s">
        <v>946</v>
      </c>
      <c r="E146" s="558"/>
      <c r="F146" s="559" t="s">
        <v>2839</v>
      </c>
      <c r="G146" s="559" t="s">
        <v>2840</v>
      </c>
      <c r="H146" s="559" t="s">
        <v>2831</v>
      </c>
      <c r="I146" s="566">
        <v>0</v>
      </c>
      <c r="J146" s="566">
        <v>1332.9</v>
      </c>
      <c r="L146" s="223"/>
    </row>
    <row r="147" spans="2:12" ht="12.75">
      <c r="B147" s="559">
        <v>90476</v>
      </c>
      <c r="C147" s="559">
        <v>90306285</v>
      </c>
      <c r="D147" s="559" t="s">
        <v>946</v>
      </c>
      <c r="E147" s="558"/>
      <c r="F147" s="559" t="s">
        <v>2841</v>
      </c>
      <c r="G147" s="559" t="s">
        <v>2800</v>
      </c>
      <c r="H147" s="559" t="s">
        <v>2831</v>
      </c>
      <c r="I147" s="566">
        <v>0</v>
      </c>
      <c r="J147" s="566">
        <v>89.17</v>
      </c>
      <c r="L147" s="223"/>
    </row>
    <row r="148" spans="2:12" ht="12.75">
      <c r="B148" s="559">
        <v>90477</v>
      </c>
      <c r="C148" s="559">
        <v>90306286</v>
      </c>
      <c r="D148" s="559" t="s">
        <v>946</v>
      </c>
      <c r="E148" s="558"/>
      <c r="F148" s="559" t="s">
        <v>2841</v>
      </c>
      <c r="G148" s="559" t="s">
        <v>2842</v>
      </c>
      <c r="H148" s="559" t="s">
        <v>2831</v>
      </c>
      <c r="I148" s="566">
        <v>0</v>
      </c>
      <c r="J148" s="566">
        <v>3336.42</v>
      </c>
      <c r="L148" s="223"/>
    </row>
    <row r="149" spans="2:12" ht="12.75">
      <c r="B149" s="559">
        <v>90478</v>
      </c>
      <c r="C149" s="559">
        <v>90306372</v>
      </c>
      <c r="D149" s="559" t="s">
        <v>946</v>
      </c>
      <c r="E149" s="558"/>
      <c r="F149" s="559" t="s">
        <v>2841</v>
      </c>
      <c r="G149" s="559" t="s">
        <v>2842</v>
      </c>
      <c r="H149" s="559" t="s">
        <v>2831</v>
      </c>
      <c r="I149" s="566">
        <v>0</v>
      </c>
      <c r="J149" s="566">
        <v>1461.84</v>
      </c>
      <c r="L149" s="223"/>
    </row>
    <row r="150" spans="2:12" ht="12.75">
      <c r="B150" s="559">
        <v>90485</v>
      </c>
      <c r="C150" s="559">
        <v>90306485</v>
      </c>
      <c r="D150" s="559" t="s">
        <v>946</v>
      </c>
      <c r="E150" s="558"/>
      <c r="F150" s="559" t="s">
        <v>2843</v>
      </c>
      <c r="G150" s="559" t="s">
        <v>2802</v>
      </c>
      <c r="H150" s="559" t="s">
        <v>2831</v>
      </c>
      <c r="I150" s="566">
        <v>0</v>
      </c>
      <c r="J150" s="566">
        <v>4150.21</v>
      </c>
      <c r="L150" s="223"/>
    </row>
    <row r="151" spans="2:12" ht="12.75">
      <c r="B151" s="559">
        <v>90486</v>
      </c>
      <c r="C151" s="559">
        <v>90307107</v>
      </c>
      <c r="D151" s="559" t="s">
        <v>946</v>
      </c>
      <c r="E151" s="558"/>
      <c r="F151" s="559" t="s">
        <v>2844</v>
      </c>
      <c r="G151" s="559" t="s">
        <v>2845</v>
      </c>
      <c r="H151" s="559" t="s">
        <v>2831</v>
      </c>
      <c r="I151" s="566">
        <v>0</v>
      </c>
      <c r="J151" s="566">
        <v>1020.49</v>
      </c>
      <c r="L151" s="223"/>
    </row>
    <row r="152" spans="2:12" ht="12.75">
      <c r="B152" s="559">
        <v>90487</v>
      </c>
      <c r="C152" s="559">
        <v>90307096</v>
      </c>
      <c r="D152" s="559" t="s">
        <v>946</v>
      </c>
      <c r="E152" s="558"/>
      <c r="F152" s="559" t="s">
        <v>2844</v>
      </c>
      <c r="G152" s="559" t="s">
        <v>2845</v>
      </c>
      <c r="H152" s="559" t="s">
        <v>2831</v>
      </c>
      <c r="I152" s="566">
        <v>0</v>
      </c>
      <c r="J152" s="566">
        <v>58.74</v>
      </c>
      <c r="L152" s="223"/>
    </row>
    <row r="153" spans="2:12" ht="12.75">
      <c r="B153" s="559">
        <v>90488</v>
      </c>
      <c r="C153" s="559">
        <v>90306954</v>
      </c>
      <c r="D153" s="559" t="s">
        <v>946</v>
      </c>
      <c r="E153" s="558"/>
      <c r="F153" s="559" t="s">
        <v>2846</v>
      </c>
      <c r="G153" s="559" t="s">
        <v>2795</v>
      </c>
      <c r="H153" s="559" t="s">
        <v>2831</v>
      </c>
      <c r="I153" s="566">
        <v>0</v>
      </c>
      <c r="J153" s="566">
        <v>300.36</v>
      </c>
      <c r="L153" s="223"/>
    </row>
    <row r="154" spans="2:12" ht="12.75">
      <c r="B154" s="559">
        <v>90491</v>
      </c>
      <c r="C154" s="559">
        <v>90307186</v>
      </c>
      <c r="D154" s="559" t="s">
        <v>946</v>
      </c>
      <c r="E154" s="558"/>
      <c r="F154" s="559" t="s">
        <v>2844</v>
      </c>
      <c r="G154" s="559" t="s">
        <v>2845</v>
      </c>
      <c r="H154" s="559" t="s">
        <v>2831</v>
      </c>
      <c r="I154" s="566">
        <v>0</v>
      </c>
      <c r="J154" s="566">
        <v>435.49</v>
      </c>
      <c r="L154" s="223"/>
    </row>
    <row r="155" spans="2:12" ht="12.75">
      <c r="B155" s="559">
        <v>90563</v>
      </c>
      <c r="C155" s="559">
        <v>9037825</v>
      </c>
      <c r="D155" s="559" t="s">
        <v>946</v>
      </c>
      <c r="E155" s="558"/>
      <c r="F155" s="559" t="s">
        <v>2847</v>
      </c>
      <c r="G155" s="559" t="s">
        <v>2848</v>
      </c>
      <c r="H155" s="559" t="s">
        <v>2831</v>
      </c>
      <c r="I155" s="566">
        <v>0</v>
      </c>
      <c r="J155" s="566">
        <v>1789.37</v>
      </c>
      <c r="L155" s="223"/>
    </row>
    <row r="156" spans="2:12" ht="12.75">
      <c r="B156" s="559">
        <v>90564</v>
      </c>
      <c r="C156" s="559">
        <v>9039021</v>
      </c>
      <c r="D156" s="559" t="s">
        <v>946</v>
      </c>
      <c r="E156" s="558"/>
      <c r="F156" s="559" t="s">
        <v>2849</v>
      </c>
      <c r="G156" s="559" t="s">
        <v>2850</v>
      </c>
      <c r="H156" s="559" t="s">
        <v>2831</v>
      </c>
      <c r="I156" s="566">
        <v>0</v>
      </c>
      <c r="J156" s="566">
        <v>117.48</v>
      </c>
      <c r="L156" s="223"/>
    </row>
    <row r="157" spans="2:12" ht="12.75">
      <c r="B157" s="559">
        <v>90565</v>
      </c>
      <c r="C157" s="559">
        <v>9038458</v>
      </c>
      <c r="D157" s="559" t="s">
        <v>946</v>
      </c>
      <c r="E157" s="558"/>
      <c r="F157" s="559" t="s">
        <v>2849</v>
      </c>
      <c r="G157" s="559" t="s">
        <v>2850</v>
      </c>
      <c r="H157" s="559" t="s">
        <v>2831</v>
      </c>
      <c r="I157" s="566">
        <v>0</v>
      </c>
      <c r="J157" s="566">
        <v>802.89</v>
      </c>
      <c r="L157" s="223"/>
    </row>
    <row r="158" spans="2:12" ht="12.75">
      <c r="B158" s="559">
        <v>90567</v>
      </c>
      <c r="C158" s="559">
        <v>9038494</v>
      </c>
      <c r="D158" s="559" t="s">
        <v>946</v>
      </c>
      <c r="E158" s="558"/>
      <c r="F158" s="559" t="s">
        <v>2849</v>
      </c>
      <c r="G158" s="559" t="s">
        <v>2850</v>
      </c>
      <c r="H158" s="559" t="s">
        <v>2831</v>
      </c>
      <c r="I158" s="566">
        <v>0</v>
      </c>
      <c r="J158" s="566">
        <v>147.13</v>
      </c>
      <c r="L158" s="223"/>
    </row>
    <row r="159" spans="2:12" ht="12.75">
      <c r="B159" s="559">
        <v>90581</v>
      </c>
      <c r="C159" s="559">
        <v>9040636</v>
      </c>
      <c r="D159" s="559" t="s">
        <v>946</v>
      </c>
      <c r="E159" s="558"/>
      <c r="F159" s="559" t="s">
        <v>2851</v>
      </c>
      <c r="G159" s="559" t="s">
        <v>2852</v>
      </c>
      <c r="H159" s="559" t="s">
        <v>2831</v>
      </c>
      <c r="I159" s="566">
        <v>0</v>
      </c>
      <c r="J159" s="566">
        <v>413.62</v>
      </c>
      <c r="L159" s="223"/>
    </row>
    <row r="160" spans="2:12" ht="12.75">
      <c r="B160" s="559">
        <v>90591</v>
      </c>
      <c r="C160" s="559">
        <v>90309155</v>
      </c>
      <c r="D160" s="559" t="s">
        <v>946</v>
      </c>
      <c r="E160" s="558"/>
      <c r="F160" s="559" t="s">
        <v>2853</v>
      </c>
      <c r="G160" s="559" t="s">
        <v>2827</v>
      </c>
      <c r="H160" s="559" t="s">
        <v>2831</v>
      </c>
      <c r="I160" s="566">
        <v>0</v>
      </c>
      <c r="J160" s="566">
        <v>264.5</v>
      </c>
      <c r="L160" s="223"/>
    </row>
    <row r="161" spans="2:12" ht="12.75">
      <c r="B161" s="559">
        <v>90612</v>
      </c>
      <c r="C161" s="559">
        <v>90751442</v>
      </c>
      <c r="D161" s="559" t="s">
        <v>946</v>
      </c>
      <c r="E161" s="558"/>
      <c r="F161" s="559" t="s">
        <v>2853</v>
      </c>
      <c r="G161" s="559" t="s">
        <v>2827</v>
      </c>
      <c r="H161" s="559" t="s">
        <v>2831</v>
      </c>
      <c r="I161" s="566">
        <v>0</v>
      </c>
      <c r="J161" s="566">
        <v>25392.16</v>
      </c>
      <c r="L161" s="223"/>
    </row>
    <row r="162" spans="2:12" ht="12.75">
      <c r="B162" s="559">
        <v>90674</v>
      </c>
      <c r="C162" s="559">
        <v>90310287</v>
      </c>
      <c r="D162" s="559" t="s">
        <v>2721</v>
      </c>
      <c r="E162" s="558"/>
      <c r="F162" s="559" t="s">
        <v>2854</v>
      </c>
      <c r="G162" s="559" t="s">
        <v>2855</v>
      </c>
      <c r="H162" s="559" t="s">
        <v>2856</v>
      </c>
      <c r="I162" s="566">
        <v>0</v>
      </c>
      <c r="J162" s="566">
        <v>1930.33</v>
      </c>
      <c r="L162" s="223"/>
    </row>
    <row r="163" spans="2:12" ht="12.75">
      <c r="B163" s="559">
        <v>90697</v>
      </c>
      <c r="C163" s="559">
        <v>9045044</v>
      </c>
      <c r="D163" s="559" t="s">
        <v>946</v>
      </c>
      <c r="E163" s="558"/>
      <c r="F163" s="559" t="s">
        <v>2771</v>
      </c>
      <c r="G163" s="559" t="s">
        <v>2857</v>
      </c>
      <c r="H163" s="559" t="s">
        <v>2856</v>
      </c>
      <c r="I163" s="566">
        <v>0</v>
      </c>
      <c r="J163" s="566">
        <v>2962.94</v>
      </c>
      <c r="L163" s="223"/>
    </row>
    <row r="164" spans="2:12" ht="12.75">
      <c r="B164" s="559">
        <v>90698</v>
      </c>
      <c r="C164" s="559">
        <v>9045663</v>
      </c>
      <c r="D164" s="559" t="s">
        <v>946</v>
      </c>
      <c r="E164" s="558"/>
      <c r="F164" s="559" t="s">
        <v>2854</v>
      </c>
      <c r="G164" s="559" t="s">
        <v>2858</v>
      </c>
      <c r="H164" s="559" t="s">
        <v>2856</v>
      </c>
      <c r="I164" s="566">
        <v>0</v>
      </c>
      <c r="J164" s="566">
        <v>3660.15</v>
      </c>
      <c r="L164" s="223"/>
    </row>
    <row r="165" spans="2:12" ht="12.75">
      <c r="B165" s="559">
        <v>90704</v>
      </c>
      <c r="C165" s="559">
        <v>90751614</v>
      </c>
      <c r="D165" s="559" t="s">
        <v>946</v>
      </c>
      <c r="E165" s="558"/>
      <c r="F165" s="559" t="s">
        <v>2854</v>
      </c>
      <c r="G165" s="559" t="s">
        <v>2855</v>
      </c>
      <c r="H165" s="559" t="s">
        <v>2856</v>
      </c>
      <c r="I165" s="566">
        <v>0</v>
      </c>
      <c r="J165" s="566">
        <v>13504.31</v>
      </c>
      <c r="L165" s="223"/>
    </row>
    <row r="166" spans="2:12" ht="12.75">
      <c r="B166" s="559">
        <v>90752</v>
      </c>
      <c r="C166" s="559">
        <v>90311505</v>
      </c>
      <c r="D166" s="559" t="s">
        <v>2721</v>
      </c>
      <c r="E166" s="558"/>
      <c r="F166" s="559" t="s">
        <v>2859</v>
      </c>
      <c r="G166" s="559" t="s">
        <v>2860</v>
      </c>
      <c r="H166" s="559" t="s">
        <v>2856</v>
      </c>
      <c r="I166" s="566">
        <v>0</v>
      </c>
      <c r="J166" s="566">
        <v>1632.81</v>
      </c>
      <c r="L166" s="223"/>
    </row>
    <row r="167" spans="2:12" ht="12.75">
      <c r="B167" s="559">
        <v>90795</v>
      </c>
      <c r="C167" s="559">
        <v>90311970</v>
      </c>
      <c r="D167" s="559" t="s">
        <v>2721</v>
      </c>
      <c r="E167" s="558"/>
      <c r="F167" s="559" t="s">
        <v>2861</v>
      </c>
      <c r="G167" s="559" t="s">
        <v>2862</v>
      </c>
      <c r="H167" s="559" t="s">
        <v>2856</v>
      </c>
      <c r="I167" s="566">
        <v>0</v>
      </c>
      <c r="J167" s="566">
        <v>108.64</v>
      </c>
      <c r="L167" s="223"/>
    </row>
    <row r="168" spans="2:12" ht="12.75">
      <c r="B168" s="559">
        <v>90816</v>
      </c>
      <c r="C168" s="559">
        <v>90751799</v>
      </c>
      <c r="D168" s="559" t="s">
        <v>946</v>
      </c>
      <c r="E168" s="558"/>
      <c r="F168" s="559" t="s">
        <v>2859</v>
      </c>
      <c r="G168" s="559" t="s">
        <v>2860</v>
      </c>
      <c r="H168" s="559" t="s">
        <v>2856</v>
      </c>
      <c r="I168" s="566">
        <v>0</v>
      </c>
      <c r="J168" s="566">
        <v>24849.71</v>
      </c>
      <c r="L168" s="223"/>
    </row>
    <row r="169" spans="2:12" ht="12.75">
      <c r="B169" s="559">
        <v>90820</v>
      </c>
      <c r="C169" s="559">
        <v>9051626</v>
      </c>
      <c r="D169" s="559" t="s">
        <v>946</v>
      </c>
      <c r="E169" s="558"/>
      <c r="F169" s="559" t="s">
        <v>2859</v>
      </c>
      <c r="G169" s="559" t="s">
        <v>2863</v>
      </c>
      <c r="H169" s="559" t="s">
        <v>2856</v>
      </c>
      <c r="I169" s="566">
        <v>0</v>
      </c>
      <c r="J169" s="566">
        <v>1942.93</v>
      </c>
      <c r="L169" s="223"/>
    </row>
    <row r="170" spans="2:12" ht="12.75">
      <c r="B170" s="559">
        <v>90821</v>
      </c>
      <c r="C170" s="559">
        <v>9049355</v>
      </c>
      <c r="D170" s="559" t="s">
        <v>946</v>
      </c>
      <c r="E170" s="558"/>
      <c r="F170" s="559" t="s">
        <v>2864</v>
      </c>
      <c r="G170" s="559" t="s">
        <v>2865</v>
      </c>
      <c r="H170" s="559" t="s">
        <v>2856</v>
      </c>
      <c r="I170" s="566">
        <v>0</v>
      </c>
      <c r="J170" s="566">
        <v>23.36</v>
      </c>
      <c r="L170" s="223"/>
    </row>
    <row r="171" spans="2:12" ht="12.75">
      <c r="B171" s="559">
        <v>90854</v>
      </c>
      <c r="C171" s="559">
        <v>90751972</v>
      </c>
      <c r="D171" s="559" t="s">
        <v>946</v>
      </c>
      <c r="E171" s="558"/>
      <c r="F171" s="559" t="s">
        <v>2784</v>
      </c>
      <c r="G171" s="559" t="s">
        <v>2866</v>
      </c>
      <c r="H171" s="559" t="s">
        <v>2856</v>
      </c>
      <c r="I171" s="566">
        <v>0</v>
      </c>
      <c r="J171" s="566">
        <v>3388.59</v>
      </c>
      <c r="L171" s="223"/>
    </row>
    <row r="172" spans="2:12" ht="12.75">
      <c r="B172" s="559">
        <v>90858</v>
      </c>
      <c r="C172" s="559">
        <v>90312822</v>
      </c>
      <c r="D172" s="559" t="s">
        <v>2721</v>
      </c>
      <c r="E172" s="558"/>
      <c r="F172" s="559" t="s">
        <v>2867</v>
      </c>
      <c r="G172" s="559" t="s">
        <v>2868</v>
      </c>
      <c r="H172" s="559" t="s">
        <v>2856</v>
      </c>
      <c r="I172" s="566">
        <v>0</v>
      </c>
      <c r="J172" s="566">
        <v>212.17</v>
      </c>
      <c r="L172" s="223"/>
    </row>
    <row r="173" spans="2:12" ht="12.75">
      <c r="B173" s="559">
        <v>90915</v>
      </c>
      <c r="C173" s="559">
        <v>9062455</v>
      </c>
      <c r="D173" s="559" t="s">
        <v>946</v>
      </c>
      <c r="E173" s="558"/>
      <c r="F173" s="559" t="s">
        <v>2869</v>
      </c>
      <c r="G173" s="559" t="s">
        <v>2870</v>
      </c>
      <c r="H173" s="559" t="s">
        <v>2856</v>
      </c>
      <c r="I173" s="566">
        <v>0</v>
      </c>
      <c r="J173" s="566">
        <v>667.52</v>
      </c>
      <c r="L173" s="223"/>
    </row>
    <row r="174" spans="2:12" ht="12.75">
      <c r="B174" s="559">
        <v>90916</v>
      </c>
      <c r="C174" s="559">
        <v>9062577</v>
      </c>
      <c r="D174" s="559" t="s">
        <v>946</v>
      </c>
      <c r="E174" s="558"/>
      <c r="F174" s="559" t="s">
        <v>2871</v>
      </c>
      <c r="G174" s="559" t="s">
        <v>2872</v>
      </c>
      <c r="H174" s="559" t="s">
        <v>2856</v>
      </c>
      <c r="I174" s="566">
        <v>0</v>
      </c>
      <c r="J174" s="566">
        <v>1721.19</v>
      </c>
      <c r="L174" s="223"/>
    </row>
    <row r="175" spans="2:12" ht="12.75">
      <c r="B175" s="559">
        <v>90950</v>
      </c>
      <c r="C175" s="559">
        <v>9065691</v>
      </c>
      <c r="D175" s="559" t="s">
        <v>946</v>
      </c>
      <c r="E175" s="558"/>
      <c r="F175" s="559" t="s">
        <v>2753</v>
      </c>
      <c r="G175" s="559" t="s">
        <v>2873</v>
      </c>
      <c r="H175" s="559" t="s">
        <v>2856</v>
      </c>
      <c r="I175" s="566">
        <v>0</v>
      </c>
      <c r="J175" s="566">
        <v>35.200000000000003</v>
      </c>
      <c r="L175" s="223"/>
    </row>
    <row r="176" spans="2:12" ht="12.75">
      <c r="B176" s="559">
        <v>90952</v>
      </c>
      <c r="C176" s="559">
        <v>9065778</v>
      </c>
      <c r="D176" s="559" t="s">
        <v>946</v>
      </c>
      <c r="E176" s="558"/>
      <c r="F176" s="559" t="s">
        <v>2753</v>
      </c>
      <c r="G176" s="559" t="s">
        <v>2873</v>
      </c>
      <c r="H176" s="559" t="s">
        <v>2856</v>
      </c>
      <c r="I176" s="566">
        <v>0</v>
      </c>
      <c r="J176" s="566">
        <v>2224.9499999999998</v>
      </c>
      <c r="L176" s="223"/>
    </row>
    <row r="177" spans="2:12" ht="12.75">
      <c r="B177" s="559">
        <v>90974</v>
      </c>
      <c r="C177" s="559">
        <v>9064960</v>
      </c>
      <c r="D177" s="559" t="s">
        <v>946</v>
      </c>
      <c r="E177" s="558"/>
      <c r="F177" s="559" t="s">
        <v>2874</v>
      </c>
      <c r="G177" s="559" t="s">
        <v>2875</v>
      </c>
      <c r="H177" s="559" t="s">
        <v>2856</v>
      </c>
      <c r="I177" s="566">
        <v>0</v>
      </c>
      <c r="J177" s="566">
        <v>654.74</v>
      </c>
      <c r="L177" s="223"/>
    </row>
    <row r="178" spans="2:12" ht="12.75">
      <c r="B178" s="559">
        <v>90983</v>
      </c>
      <c r="C178" s="559">
        <v>90752121</v>
      </c>
      <c r="D178" s="559" t="s">
        <v>946</v>
      </c>
      <c r="E178" s="558"/>
      <c r="F178" s="559" t="s">
        <v>2869</v>
      </c>
      <c r="G178" s="559" t="s">
        <v>2876</v>
      </c>
      <c r="H178" s="559" t="s">
        <v>2856</v>
      </c>
      <c r="I178" s="566">
        <v>0</v>
      </c>
      <c r="J178" s="566">
        <v>126.45</v>
      </c>
      <c r="L178" s="223"/>
    </row>
    <row r="179" spans="2:12" ht="12.75">
      <c r="B179" s="559">
        <v>90984</v>
      </c>
      <c r="C179" s="559">
        <v>90752122</v>
      </c>
      <c r="D179" s="559" t="s">
        <v>946</v>
      </c>
      <c r="E179" s="558"/>
      <c r="F179" s="559" t="s">
        <v>2869</v>
      </c>
      <c r="G179" s="559" t="s">
        <v>2850</v>
      </c>
      <c r="H179" s="559" t="s">
        <v>2856</v>
      </c>
      <c r="I179" s="566">
        <v>0</v>
      </c>
      <c r="J179" s="566">
        <v>7878.14</v>
      </c>
      <c r="L179" s="223"/>
    </row>
    <row r="180" spans="2:12" ht="12.75">
      <c r="B180" s="559">
        <v>91126</v>
      </c>
      <c r="C180" s="559">
        <v>9066181</v>
      </c>
      <c r="D180" s="559" t="s">
        <v>946</v>
      </c>
      <c r="E180" s="558"/>
      <c r="F180" s="559" t="s">
        <v>2877</v>
      </c>
      <c r="G180" s="559" t="s">
        <v>2878</v>
      </c>
      <c r="H180" s="559" t="s">
        <v>2879</v>
      </c>
      <c r="I180" s="566">
        <v>0</v>
      </c>
      <c r="J180" s="566">
        <v>2780.86</v>
      </c>
      <c r="L180" s="223"/>
    </row>
    <row r="181" spans="2:12" ht="12.75">
      <c r="B181" s="559">
        <v>92120</v>
      </c>
      <c r="C181" s="559">
        <v>20090177</v>
      </c>
      <c r="D181" s="559" t="s">
        <v>946</v>
      </c>
      <c r="E181" s="558"/>
      <c r="F181" s="559" t="s">
        <v>2880</v>
      </c>
      <c r="G181" s="559" t="s">
        <v>2881</v>
      </c>
      <c r="H181" s="559" t="s">
        <v>2882</v>
      </c>
      <c r="I181" s="566">
        <v>0</v>
      </c>
      <c r="J181" s="566">
        <v>69657.91</v>
      </c>
      <c r="L181" s="223"/>
    </row>
    <row r="182" spans="2:12" ht="12.75">
      <c r="B182" s="559">
        <v>92306</v>
      </c>
      <c r="C182" s="559">
        <v>20090189</v>
      </c>
      <c r="D182" s="559" t="s">
        <v>946</v>
      </c>
      <c r="E182" s="558"/>
      <c r="F182" s="559" t="s">
        <v>2883</v>
      </c>
      <c r="G182" s="559" t="s">
        <v>2881</v>
      </c>
      <c r="H182" s="559" t="s">
        <v>2884</v>
      </c>
      <c r="I182" s="566">
        <v>0</v>
      </c>
      <c r="J182" s="566">
        <v>12799.31</v>
      </c>
      <c r="L182" s="223"/>
    </row>
    <row r="183" spans="2:12" ht="12.75">
      <c r="B183" s="559">
        <v>92338</v>
      </c>
      <c r="C183" s="559">
        <v>300081353</v>
      </c>
      <c r="D183" s="559" t="s">
        <v>2721</v>
      </c>
      <c r="E183" s="558"/>
      <c r="F183" s="559" t="s">
        <v>2885</v>
      </c>
      <c r="G183" s="559" t="s">
        <v>2886</v>
      </c>
      <c r="H183" s="559" t="s">
        <v>2887</v>
      </c>
      <c r="I183" s="566">
        <v>0</v>
      </c>
      <c r="J183" s="566">
        <v>90.14</v>
      </c>
      <c r="L183" s="223"/>
    </row>
    <row r="184" spans="2:12" ht="12.75">
      <c r="B184" s="559">
        <v>92340</v>
      </c>
      <c r="C184" s="559">
        <v>300081329</v>
      </c>
      <c r="D184" s="559" t="s">
        <v>2721</v>
      </c>
      <c r="E184" s="558"/>
      <c r="F184" s="559" t="s">
        <v>2885</v>
      </c>
      <c r="G184" s="559" t="s">
        <v>2886</v>
      </c>
      <c r="H184" s="559" t="s">
        <v>2887</v>
      </c>
      <c r="I184" s="566">
        <v>0</v>
      </c>
      <c r="J184" s="566">
        <v>386.16</v>
      </c>
      <c r="L184" s="223"/>
    </row>
    <row r="185" spans="2:12" ht="12.75">
      <c r="B185" s="559">
        <v>92351</v>
      </c>
      <c r="C185" s="559">
        <v>300081361</v>
      </c>
      <c r="D185" s="559" t="s">
        <v>2721</v>
      </c>
      <c r="E185" s="558"/>
      <c r="F185" s="559" t="s">
        <v>2888</v>
      </c>
      <c r="G185" s="559" t="s">
        <v>2889</v>
      </c>
      <c r="H185" s="559" t="s">
        <v>2887</v>
      </c>
      <c r="I185" s="566">
        <v>0</v>
      </c>
      <c r="J185" s="566">
        <v>3059.36</v>
      </c>
      <c r="L185" s="223"/>
    </row>
    <row r="186" spans="2:12" ht="12.75">
      <c r="B186" s="559">
        <v>92352</v>
      </c>
      <c r="C186" s="559">
        <v>300081357</v>
      </c>
      <c r="D186" s="559" t="s">
        <v>2721</v>
      </c>
      <c r="E186" s="558"/>
      <c r="F186" s="559" t="s">
        <v>2888</v>
      </c>
      <c r="G186" s="559" t="s">
        <v>2889</v>
      </c>
      <c r="H186" s="559" t="s">
        <v>2887</v>
      </c>
      <c r="I186" s="566">
        <v>0</v>
      </c>
      <c r="J186" s="566">
        <v>34.89</v>
      </c>
      <c r="L186" s="223"/>
    </row>
    <row r="187" spans="2:12" ht="12.75">
      <c r="B187" s="559">
        <v>92448</v>
      </c>
      <c r="C187" s="559">
        <v>300081806</v>
      </c>
      <c r="D187" s="559" t="s">
        <v>2721</v>
      </c>
      <c r="E187" s="558"/>
      <c r="F187" s="559" t="s">
        <v>2889</v>
      </c>
      <c r="G187" s="559" t="s">
        <v>2890</v>
      </c>
      <c r="H187" s="559" t="s">
        <v>2887</v>
      </c>
      <c r="I187" s="566">
        <v>0</v>
      </c>
      <c r="J187" s="566">
        <v>552.58000000000004</v>
      </c>
      <c r="L187" s="223"/>
    </row>
    <row r="188" spans="2:12" ht="12.75">
      <c r="B188" s="559">
        <v>92509</v>
      </c>
      <c r="C188" s="559">
        <v>300082122</v>
      </c>
      <c r="D188" s="559" t="s">
        <v>2721</v>
      </c>
      <c r="E188" s="558"/>
      <c r="F188" s="559" t="s">
        <v>2891</v>
      </c>
      <c r="G188" s="559" t="s">
        <v>2892</v>
      </c>
      <c r="H188" s="559" t="s">
        <v>2887</v>
      </c>
      <c r="I188" s="566">
        <v>0</v>
      </c>
      <c r="J188" s="566">
        <v>164.22</v>
      </c>
      <c r="L188" s="223"/>
    </row>
    <row r="189" spans="2:12" ht="12.75">
      <c r="B189" s="559">
        <v>92582</v>
      </c>
      <c r="C189" s="559">
        <v>20090213</v>
      </c>
      <c r="D189" s="559" t="s">
        <v>946</v>
      </c>
      <c r="E189" s="558"/>
      <c r="F189" s="559" t="s">
        <v>2893</v>
      </c>
      <c r="G189" s="559" t="s">
        <v>2881</v>
      </c>
      <c r="H189" s="559" t="s">
        <v>2887</v>
      </c>
      <c r="I189" s="566">
        <v>0</v>
      </c>
      <c r="J189" s="566">
        <v>80179.360000000001</v>
      </c>
      <c r="L189" s="223"/>
    </row>
    <row r="190" spans="2:12" ht="12.75">
      <c r="B190" s="559">
        <v>92636</v>
      </c>
      <c r="C190" s="559">
        <v>300082543</v>
      </c>
      <c r="D190" s="559" t="s">
        <v>2721</v>
      </c>
      <c r="E190" s="558"/>
      <c r="F190" s="559" t="s">
        <v>2890</v>
      </c>
      <c r="G190" s="559" t="s">
        <v>2894</v>
      </c>
      <c r="H190" s="559" t="s">
        <v>2895</v>
      </c>
      <c r="I190" s="566">
        <v>0</v>
      </c>
      <c r="J190" s="566">
        <v>132.5</v>
      </c>
      <c r="L190" s="223"/>
    </row>
    <row r="191" spans="2:12" ht="12.75">
      <c r="B191" s="559">
        <v>92672</v>
      </c>
      <c r="C191" s="559">
        <v>300082929</v>
      </c>
      <c r="D191" s="559" t="s">
        <v>2721</v>
      </c>
      <c r="E191" s="558"/>
      <c r="F191" s="559" t="s">
        <v>2896</v>
      </c>
      <c r="G191" s="559" t="s">
        <v>2897</v>
      </c>
      <c r="H191" s="559" t="s">
        <v>2895</v>
      </c>
      <c r="I191" s="566">
        <v>0</v>
      </c>
      <c r="J191" s="566">
        <v>3081.74</v>
      </c>
      <c r="L191" s="223"/>
    </row>
    <row r="192" spans="2:12" ht="12.75">
      <c r="B192" s="559">
        <v>92746</v>
      </c>
      <c r="C192" s="559">
        <v>300083271</v>
      </c>
      <c r="D192" s="559" t="s">
        <v>2898</v>
      </c>
      <c r="E192" s="558"/>
      <c r="F192" s="559" t="s">
        <v>2899</v>
      </c>
      <c r="G192" s="559" t="s">
        <v>2900</v>
      </c>
      <c r="H192" s="559" t="s">
        <v>2895</v>
      </c>
      <c r="I192" s="566">
        <v>0</v>
      </c>
      <c r="J192" s="566">
        <v>1489.69</v>
      </c>
      <c r="L192" s="223"/>
    </row>
    <row r="193" spans="2:12" ht="12.75">
      <c r="B193" s="559">
        <v>92778</v>
      </c>
      <c r="C193" s="559">
        <v>300083536</v>
      </c>
      <c r="D193" s="559" t="s">
        <v>2721</v>
      </c>
      <c r="E193" s="558"/>
      <c r="F193" s="559" t="s">
        <v>2901</v>
      </c>
      <c r="G193" s="559" t="s">
        <v>2902</v>
      </c>
      <c r="H193" s="559" t="s">
        <v>2895</v>
      </c>
      <c r="I193" s="566">
        <v>0</v>
      </c>
      <c r="J193" s="566">
        <v>747.32</v>
      </c>
      <c r="L193" s="223"/>
    </row>
    <row r="194" spans="2:12" ht="12.75">
      <c r="B194" s="559">
        <v>92779</v>
      </c>
      <c r="C194" s="559">
        <v>300083473</v>
      </c>
      <c r="D194" s="559" t="s">
        <v>2721</v>
      </c>
      <c r="E194" s="558"/>
      <c r="F194" s="559" t="s">
        <v>2903</v>
      </c>
      <c r="G194" s="559" t="s">
        <v>2904</v>
      </c>
      <c r="H194" s="559" t="s">
        <v>2895</v>
      </c>
      <c r="I194" s="566">
        <v>0</v>
      </c>
      <c r="J194" s="566">
        <v>302.38</v>
      </c>
      <c r="L194" s="223"/>
    </row>
    <row r="195" spans="2:12" ht="12.75">
      <c r="B195" s="559">
        <v>92837</v>
      </c>
      <c r="C195" s="559">
        <v>20090234</v>
      </c>
      <c r="D195" s="559" t="s">
        <v>946</v>
      </c>
      <c r="E195" s="558"/>
      <c r="F195" s="559" t="s">
        <v>2905</v>
      </c>
      <c r="G195" s="559" t="s">
        <v>2906</v>
      </c>
      <c r="H195" s="559" t="s">
        <v>2895</v>
      </c>
      <c r="I195" s="566">
        <v>0</v>
      </c>
      <c r="J195" s="566">
        <v>75458.86</v>
      </c>
      <c r="L195" s="223"/>
    </row>
    <row r="196" spans="2:12" ht="12.75">
      <c r="B196" s="559">
        <v>92838</v>
      </c>
      <c r="C196" s="559">
        <v>300083803</v>
      </c>
      <c r="D196" s="559" t="s">
        <v>2898</v>
      </c>
      <c r="E196" s="558"/>
      <c r="F196" s="559" t="s">
        <v>2905</v>
      </c>
      <c r="G196" s="559" t="s">
        <v>2907</v>
      </c>
      <c r="H196" s="559" t="s">
        <v>2908</v>
      </c>
      <c r="I196" s="566">
        <v>0</v>
      </c>
      <c r="J196" s="566">
        <v>1237.79</v>
      </c>
      <c r="L196" s="223"/>
    </row>
    <row r="197" spans="2:12" ht="12.75">
      <c r="B197" s="559">
        <v>92967</v>
      </c>
      <c r="C197" s="559">
        <v>300084299</v>
      </c>
      <c r="D197" s="559" t="s">
        <v>2898</v>
      </c>
      <c r="E197" s="558"/>
      <c r="F197" s="559" t="s">
        <v>2909</v>
      </c>
      <c r="G197" s="559" t="s">
        <v>2910</v>
      </c>
      <c r="H197" s="559" t="s">
        <v>2908</v>
      </c>
      <c r="I197" s="566">
        <v>0</v>
      </c>
      <c r="J197" s="566">
        <v>263.06</v>
      </c>
      <c r="L197" s="223"/>
    </row>
    <row r="198" spans="2:12" ht="12.75">
      <c r="B198" s="559">
        <v>92968</v>
      </c>
      <c r="C198" s="559">
        <v>300084292</v>
      </c>
      <c r="D198" s="559" t="s">
        <v>2898</v>
      </c>
      <c r="E198" s="558"/>
      <c r="F198" s="559" t="s">
        <v>2909</v>
      </c>
      <c r="G198" s="559" t="s">
        <v>2910</v>
      </c>
      <c r="H198" s="559" t="s">
        <v>2908</v>
      </c>
      <c r="I198" s="566">
        <v>0</v>
      </c>
      <c r="J198" s="566">
        <v>1175.79</v>
      </c>
      <c r="L198" s="223"/>
    </row>
    <row r="199" spans="2:12" ht="12.75">
      <c r="B199" s="559">
        <v>92982</v>
      </c>
      <c r="C199" s="559">
        <v>300084294</v>
      </c>
      <c r="D199" s="559" t="s">
        <v>2721</v>
      </c>
      <c r="E199" s="558"/>
      <c r="F199" s="559" t="s">
        <v>2909</v>
      </c>
      <c r="G199" s="559" t="s">
        <v>2910</v>
      </c>
      <c r="H199" s="559" t="s">
        <v>2908</v>
      </c>
      <c r="I199" s="566">
        <v>0</v>
      </c>
      <c r="J199" s="566">
        <v>3184.18</v>
      </c>
      <c r="L199" s="223"/>
    </row>
    <row r="200" spans="2:12" ht="12.75">
      <c r="B200" s="559">
        <v>92986</v>
      </c>
      <c r="C200" s="559">
        <v>300084429</v>
      </c>
      <c r="D200" s="559" t="s">
        <v>2898</v>
      </c>
      <c r="E200" s="558"/>
      <c r="F200" s="559" t="s">
        <v>2911</v>
      </c>
      <c r="G200" s="559" t="s">
        <v>2912</v>
      </c>
      <c r="H200" s="559" t="s">
        <v>2908</v>
      </c>
      <c r="I200" s="566">
        <v>0</v>
      </c>
      <c r="J200" s="566">
        <v>1860.22</v>
      </c>
      <c r="L200" s="223"/>
    </row>
    <row r="201" spans="2:12" ht="12.75">
      <c r="B201" s="559">
        <v>93084</v>
      </c>
      <c r="C201" s="559">
        <v>300084956</v>
      </c>
      <c r="D201" s="559" t="s">
        <v>2721</v>
      </c>
      <c r="E201" s="558"/>
      <c r="F201" s="559" t="s">
        <v>2910</v>
      </c>
      <c r="G201" s="559" t="s">
        <v>2913</v>
      </c>
      <c r="H201" s="559" t="s">
        <v>2908</v>
      </c>
      <c r="I201" s="566">
        <v>0</v>
      </c>
      <c r="J201" s="566">
        <v>2161.04</v>
      </c>
      <c r="L201" s="223"/>
    </row>
    <row r="202" spans="2:12" ht="12.75">
      <c r="B202" s="559">
        <v>93144</v>
      </c>
      <c r="C202" s="559">
        <v>20090265</v>
      </c>
      <c r="D202" s="559" t="s">
        <v>946</v>
      </c>
      <c r="E202" s="558"/>
      <c r="F202" s="559" t="s">
        <v>2914</v>
      </c>
      <c r="G202" s="559" t="s">
        <v>2915</v>
      </c>
      <c r="H202" s="559" t="s">
        <v>2908</v>
      </c>
      <c r="I202" s="566">
        <v>0</v>
      </c>
      <c r="J202" s="566">
        <v>90971.86</v>
      </c>
      <c r="L202" s="223"/>
    </row>
    <row r="203" spans="2:12" ht="12.75">
      <c r="B203" s="559">
        <v>93235</v>
      </c>
      <c r="C203" s="559">
        <v>300085592</v>
      </c>
      <c r="D203" s="559" t="s">
        <v>2721</v>
      </c>
      <c r="E203" s="558"/>
      <c r="F203" s="559" t="s">
        <v>2916</v>
      </c>
      <c r="G203" s="559" t="s">
        <v>2917</v>
      </c>
      <c r="H203" s="559" t="s">
        <v>2918</v>
      </c>
      <c r="I203" s="566">
        <v>0</v>
      </c>
      <c r="J203" s="566">
        <v>3690.18</v>
      </c>
      <c r="L203" s="223"/>
    </row>
    <row r="204" spans="2:12" ht="12.75">
      <c r="B204" s="559">
        <v>93308</v>
      </c>
      <c r="C204" s="559">
        <v>300085617</v>
      </c>
      <c r="D204" s="559" t="s">
        <v>2721</v>
      </c>
      <c r="E204" s="558"/>
      <c r="F204" s="559" t="s">
        <v>2916</v>
      </c>
      <c r="G204" s="559" t="s">
        <v>2917</v>
      </c>
      <c r="H204" s="559" t="s">
        <v>2918</v>
      </c>
      <c r="I204" s="566">
        <v>0</v>
      </c>
      <c r="J204" s="566">
        <v>187.07</v>
      </c>
      <c r="L204" s="223"/>
    </row>
    <row r="205" spans="2:12" ht="12.75">
      <c r="B205" s="559">
        <v>93411</v>
      </c>
      <c r="C205" s="559">
        <v>20100295</v>
      </c>
      <c r="D205" s="559" t="s">
        <v>946</v>
      </c>
      <c r="E205" s="558"/>
      <c r="F205" s="559" t="s">
        <v>2919</v>
      </c>
      <c r="G205" s="559" t="s">
        <v>2920</v>
      </c>
      <c r="H205" s="559" t="s">
        <v>2918</v>
      </c>
      <c r="I205" s="566">
        <v>0</v>
      </c>
      <c r="J205" s="566">
        <v>101239.43</v>
      </c>
      <c r="L205" s="223"/>
    </row>
    <row r="206" spans="2:12" ht="12.75">
      <c r="B206" s="559">
        <v>93426</v>
      </c>
      <c r="C206" s="559">
        <v>1220090047</v>
      </c>
      <c r="D206" s="559" t="s">
        <v>2580</v>
      </c>
      <c r="E206" s="558"/>
      <c r="F206" s="559" t="s">
        <v>2881</v>
      </c>
      <c r="G206" s="559" t="s">
        <v>2921</v>
      </c>
      <c r="H206" s="559" t="s">
        <v>2918</v>
      </c>
      <c r="I206" s="566">
        <v>0</v>
      </c>
      <c r="J206" s="566">
        <v>11000</v>
      </c>
      <c r="L206" s="223"/>
    </row>
    <row r="207" spans="2:12" ht="12.75">
      <c r="B207" s="559">
        <v>93430</v>
      </c>
      <c r="C207" s="559">
        <v>900954</v>
      </c>
      <c r="D207" s="559" t="s">
        <v>2922</v>
      </c>
      <c r="E207" s="558"/>
      <c r="F207" s="559" t="s">
        <v>2881</v>
      </c>
      <c r="G207" s="559" t="s">
        <v>2923</v>
      </c>
      <c r="H207" s="559" t="s">
        <v>2918</v>
      </c>
      <c r="I207" s="566">
        <v>0</v>
      </c>
      <c r="J207" s="566">
        <v>2768.17</v>
      </c>
      <c r="L207" s="223"/>
    </row>
    <row r="208" spans="2:12" ht="12.75">
      <c r="B208" s="559">
        <v>93442</v>
      </c>
      <c r="C208" s="559">
        <v>7415594331</v>
      </c>
      <c r="D208" s="559" t="s">
        <v>2580</v>
      </c>
      <c r="E208" s="558"/>
      <c r="F208" s="559" t="s">
        <v>2924</v>
      </c>
      <c r="G208" s="559" t="s">
        <v>2925</v>
      </c>
      <c r="H208" s="559" t="s">
        <v>2918</v>
      </c>
      <c r="I208" s="566">
        <v>0</v>
      </c>
      <c r="J208" s="566">
        <v>40000</v>
      </c>
      <c r="L208" s="223"/>
    </row>
    <row r="209" spans="2:12" ht="12.75">
      <c r="B209" s="559">
        <v>100010</v>
      </c>
      <c r="C209" s="559">
        <v>300086435</v>
      </c>
      <c r="D209" s="559" t="s">
        <v>2721</v>
      </c>
      <c r="E209" s="558"/>
      <c r="F209" s="559" t="s">
        <v>2926</v>
      </c>
      <c r="G209" s="559" t="s">
        <v>2927</v>
      </c>
      <c r="H209" s="559" t="s">
        <v>2928</v>
      </c>
      <c r="I209" s="566">
        <v>0</v>
      </c>
      <c r="J209" s="566">
        <v>2193.59</v>
      </c>
      <c r="L209" s="223"/>
    </row>
    <row r="210" spans="2:12" ht="12.75">
      <c r="B210" s="559">
        <v>100070</v>
      </c>
      <c r="C210" s="559">
        <v>300086742</v>
      </c>
      <c r="D210" s="559" t="s">
        <v>2721</v>
      </c>
      <c r="E210" s="558"/>
      <c r="F210" s="559" t="s">
        <v>2929</v>
      </c>
      <c r="G210" s="559" t="s">
        <v>2930</v>
      </c>
      <c r="H210" s="559" t="s">
        <v>2928</v>
      </c>
      <c r="I210" s="566">
        <v>0</v>
      </c>
      <c r="J210" s="566">
        <v>190.4</v>
      </c>
      <c r="L210" s="223"/>
    </row>
    <row r="211" spans="2:12" ht="12.75">
      <c r="B211" s="559">
        <v>100071</v>
      </c>
      <c r="C211" s="559">
        <v>300086747</v>
      </c>
      <c r="D211" s="559" t="s">
        <v>2721</v>
      </c>
      <c r="E211" s="558"/>
      <c r="F211" s="559" t="s">
        <v>2929</v>
      </c>
      <c r="G211" s="559" t="s">
        <v>2930</v>
      </c>
      <c r="H211" s="559" t="s">
        <v>2928</v>
      </c>
      <c r="I211" s="566">
        <v>0</v>
      </c>
      <c r="J211" s="566">
        <v>1102.06</v>
      </c>
      <c r="L211" s="223"/>
    </row>
    <row r="212" spans="2:12" ht="12.75">
      <c r="B212" s="559">
        <v>100079</v>
      </c>
      <c r="C212" s="559">
        <v>300086793</v>
      </c>
      <c r="D212" s="559" t="s">
        <v>2721</v>
      </c>
      <c r="E212" s="558"/>
      <c r="F212" s="559" t="s">
        <v>2931</v>
      </c>
      <c r="G212" s="559" t="s">
        <v>2932</v>
      </c>
      <c r="H212" s="559" t="s">
        <v>2928</v>
      </c>
      <c r="I212" s="566">
        <v>0</v>
      </c>
      <c r="J212" s="566">
        <v>122.21</v>
      </c>
      <c r="L212" s="223"/>
    </row>
    <row r="213" spans="2:12" ht="12.75">
      <c r="B213" s="559">
        <v>100110</v>
      </c>
      <c r="C213" s="559">
        <v>300087038</v>
      </c>
      <c r="D213" s="559" t="s">
        <v>2721</v>
      </c>
      <c r="E213" s="558"/>
      <c r="F213" s="559" t="s">
        <v>2933</v>
      </c>
      <c r="G213" s="559" t="s">
        <v>2934</v>
      </c>
      <c r="H213" s="559" t="s">
        <v>2928</v>
      </c>
      <c r="I213" s="566">
        <v>0</v>
      </c>
      <c r="J213" s="566">
        <v>2900.85</v>
      </c>
      <c r="L213" s="223"/>
    </row>
    <row r="214" spans="2:12" ht="12.75">
      <c r="B214" s="559">
        <v>100115</v>
      </c>
      <c r="C214" s="559">
        <v>300086989</v>
      </c>
      <c r="D214" s="559" t="s">
        <v>2898</v>
      </c>
      <c r="E214" s="558"/>
      <c r="F214" s="559" t="s">
        <v>2935</v>
      </c>
      <c r="G214" s="559" t="s">
        <v>2936</v>
      </c>
      <c r="H214" s="559" t="s">
        <v>2928</v>
      </c>
      <c r="I214" s="566">
        <v>0</v>
      </c>
      <c r="J214" s="566">
        <v>2465.6799999999998</v>
      </c>
      <c r="L214" s="223"/>
    </row>
    <row r="215" spans="2:12" ht="12.75">
      <c r="B215" s="559">
        <v>100149</v>
      </c>
      <c r="C215" s="559">
        <v>300087067</v>
      </c>
      <c r="D215" s="559" t="s">
        <v>2721</v>
      </c>
      <c r="E215" s="558"/>
      <c r="F215" s="559" t="s">
        <v>2933</v>
      </c>
      <c r="G215" s="559" t="s">
        <v>2934</v>
      </c>
      <c r="H215" s="559" t="s">
        <v>2928</v>
      </c>
      <c r="I215" s="566">
        <v>0</v>
      </c>
      <c r="J215" s="566">
        <v>23.75</v>
      </c>
      <c r="L215" s="223"/>
    </row>
    <row r="216" spans="2:12" ht="12.75">
      <c r="B216" s="559">
        <v>100164</v>
      </c>
      <c r="C216" s="559">
        <v>300087122</v>
      </c>
      <c r="D216" s="559" t="s">
        <v>2721</v>
      </c>
      <c r="E216" s="558"/>
      <c r="F216" s="559" t="s">
        <v>2933</v>
      </c>
      <c r="G216" s="559" t="s">
        <v>2934</v>
      </c>
      <c r="H216" s="559" t="s">
        <v>2928</v>
      </c>
      <c r="I216" s="566">
        <v>0</v>
      </c>
      <c r="J216" s="566">
        <v>121.95</v>
      </c>
      <c r="L216" s="223"/>
    </row>
    <row r="217" spans="2:12" ht="12.75">
      <c r="B217" s="559">
        <v>100218</v>
      </c>
      <c r="C217" s="559">
        <v>20100014</v>
      </c>
      <c r="D217" s="559" t="s">
        <v>946</v>
      </c>
      <c r="E217" s="558"/>
      <c r="F217" s="559" t="s">
        <v>2937</v>
      </c>
      <c r="G217" s="559" t="s">
        <v>2938</v>
      </c>
      <c r="H217" s="559" t="s">
        <v>2928</v>
      </c>
      <c r="I217" s="566">
        <v>0</v>
      </c>
      <c r="J217" s="566">
        <v>30060.400000000001</v>
      </c>
      <c r="L217" s="223"/>
    </row>
    <row r="218" spans="2:12" ht="12.75">
      <c r="B218" s="559">
        <v>100249</v>
      </c>
      <c r="C218" s="559">
        <v>300087563</v>
      </c>
      <c r="D218" s="559" t="s">
        <v>2721</v>
      </c>
      <c r="E218" s="558"/>
      <c r="F218" s="559" t="s">
        <v>2939</v>
      </c>
      <c r="G218" s="559" t="s">
        <v>2940</v>
      </c>
      <c r="H218" s="559" t="s">
        <v>2941</v>
      </c>
      <c r="I218" s="566">
        <v>0</v>
      </c>
      <c r="J218" s="566">
        <v>1247.1199999999999</v>
      </c>
      <c r="L218" s="223"/>
    </row>
    <row r="219" spans="2:12" ht="12.75">
      <c r="B219" s="559">
        <v>100318</v>
      </c>
      <c r="C219" s="559">
        <v>300087826</v>
      </c>
      <c r="D219" s="559" t="s">
        <v>2721</v>
      </c>
      <c r="E219" s="558"/>
      <c r="F219" s="559" t="s">
        <v>2942</v>
      </c>
      <c r="G219" s="559" t="s">
        <v>2943</v>
      </c>
      <c r="H219" s="559" t="s">
        <v>2941</v>
      </c>
      <c r="I219" s="566">
        <v>0</v>
      </c>
      <c r="J219" s="566">
        <v>207.36</v>
      </c>
      <c r="L219" s="223"/>
    </row>
    <row r="220" spans="2:12" ht="12.75">
      <c r="B220" s="559">
        <v>100319</v>
      </c>
      <c r="C220" s="559">
        <v>300087812</v>
      </c>
      <c r="D220" s="559" t="s">
        <v>2721</v>
      </c>
      <c r="E220" s="558"/>
      <c r="F220" s="559" t="s">
        <v>2942</v>
      </c>
      <c r="G220" s="559" t="s">
        <v>2943</v>
      </c>
      <c r="H220" s="559" t="s">
        <v>2941</v>
      </c>
      <c r="I220" s="566">
        <v>0</v>
      </c>
      <c r="J220" s="566">
        <v>752.2</v>
      </c>
      <c r="L220" s="223"/>
    </row>
    <row r="221" spans="2:12" ht="12.75">
      <c r="B221" s="559">
        <v>100324</v>
      </c>
      <c r="C221" s="559">
        <v>1000017</v>
      </c>
      <c r="D221" s="559" t="s">
        <v>2922</v>
      </c>
      <c r="E221" s="558"/>
      <c r="F221" s="559" t="s">
        <v>2944</v>
      </c>
      <c r="G221" s="559" t="s">
        <v>2945</v>
      </c>
      <c r="H221" s="559" t="s">
        <v>2928</v>
      </c>
      <c r="I221" s="566">
        <v>0</v>
      </c>
      <c r="J221" s="566">
        <v>2551.54</v>
      </c>
      <c r="L221" s="223"/>
    </row>
    <row r="222" spans="2:12" ht="12.75">
      <c r="B222" s="559">
        <v>100342</v>
      </c>
      <c r="C222" s="559">
        <v>300087940</v>
      </c>
      <c r="D222" s="559" t="s">
        <v>2721</v>
      </c>
      <c r="E222" s="558"/>
      <c r="F222" s="559" t="s">
        <v>2946</v>
      </c>
      <c r="G222" s="559" t="s">
        <v>2947</v>
      </c>
      <c r="H222" s="559" t="s">
        <v>2941</v>
      </c>
      <c r="I222" s="566">
        <v>0</v>
      </c>
      <c r="J222" s="566">
        <v>1130.1400000000001</v>
      </c>
      <c r="L222" s="223"/>
    </row>
    <row r="223" spans="2:12" ht="12.75">
      <c r="B223" s="559">
        <v>100391</v>
      </c>
      <c r="C223" s="559">
        <v>300088030</v>
      </c>
      <c r="D223" s="559" t="s">
        <v>2721</v>
      </c>
      <c r="E223" s="558"/>
      <c r="F223" s="559" t="s">
        <v>2948</v>
      </c>
      <c r="G223" s="559" t="s">
        <v>2949</v>
      </c>
      <c r="H223" s="559" t="s">
        <v>2941</v>
      </c>
      <c r="I223" s="566">
        <v>0</v>
      </c>
      <c r="J223" s="566">
        <v>571.08000000000004</v>
      </c>
      <c r="L223" s="223"/>
    </row>
    <row r="224" spans="2:12" ht="12.75">
      <c r="B224" s="559">
        <v>100494</v>
      </c>
      <c r="C224" s="559">
        <v>20100036</v>
      </c>
      <c r="D224" s="559" t="s">
        <v>946</v>
      </c>
      <c r="E224" s="558"/>
      <c r="F224" s="559" t="s">
        <v>2950</v>
      </c>
      <c r="G224" s="559" t="s">
        <v>2951</v>
      </c>
      <c r="H224" s="559" t="s">
        <v>2941</v>
      </c>
      <c r="I224" s="566">
        <v>0</v>
      </c>
      <c r="J224" s="566">
        <v>14160.24</v>
      </c>
      <c r="L224" s="223"/>
    </row>
    <row r="225" spans="1:12" ht="12.75">
      <c r="B225" s="559">
        <v>100598</v>
      </c>
      <c r="C225" s="559">
        <v>1000068</v>
      </c>
      <c r="D225" s="559" t="s">
        <v>2922</v>
      </c>
      <c r="E225" s="558"/>
      <c r="F225" s="559" t="s">
        <v>2952</v>
      </c>
      <c r="G225" s="559" t="s">
        <v>2953</v>
      </c>
      <c r="H225" s="559" t="s">
        <v>2941</v>
      </c>
      <c r="I225" s="566">
        <v>0</v>
      </c>
      <c r="J225" s="566">
        <v>2699.92</v>
      </c>
      <c r="L225" s="223"/>
    </row>
    <row r="226" spans="1:12" ht="12.75">
      <c r="B226" s="559">
        <v>100819</v>
      </c>
      <c r="C226" s="559">
        <v>20100058</v>
      </c>
      <c r="D226" s="559" t="s">
        <v>946</v>
      </c>
      <c r="E226" s="558"/>
      <c r="F226" s="559" t="s">
        <v>2954</v>
      </c>
      <c r="G226" s="559" t="s">
        <v>2955</v>
      </c>
      <c r="H226" s="559" t="s">
        <v>2956</v>
      </c>
      <c r="I226" s="566">
        <v>0</v>
      </c>
      <c r="J226" s="566">
        <v>96.08</v>
      </c>
      <c r="L226" s="223"/>
    </row>
    <row r="227" spans="1:12" ht="12.75">
      <c r="B227" s="559">
        <v>100993</v>
      </c>
      <c r="C227" s="559">
        <v>1000198</v>
      </c>
      <c r="D227" s="559" t="s">
        <v>2922</v>
      </c>
      <c r="E227" s="558"/>
      <c r="F227" s="559" t="s">
        <v>2957</v>
      </c>
      <c r="G227" s="559" t="s">
        <v>2958</v>
      </c>
      <c r="H227" s="559" t="s">
        <v>2956</v>
      </c>
      <c r="I227" s="566">
        <v>0</v>
      </c>
      <c r="J227" s="566">
        <v>3083.86</v>
      </c>
      <c r="L227" s="223"/>
    </row>
    <row r="228" spans="1:12" ht="12.75">
      <c r="B228" s="559">
        <v>101256</v>
      </c>
      <c r="C228" s="559">
        <v>1000298</v>
      </c>
      <c r="D228" s="559" t="s">
        <v>2922</v>
      </c>
      <c r="E228" s="558"/>
      <c r="F228" s="559" t="s">
        <v>2959</v>
      </c>
      <c r="G228" s="559" t="s">
        <v>2960</v>
      </c>
      <c r="H228" s="559" t="s">
        <v>2961</v>
      </c>
      <c r="I228" s="566">
        <v>0</v>
      </c>
      <c r="J228" s="566">
        <v>2681.87</v>
      </c>
      <c r="L228" s="223"/>
    </row>
    <row r="229" spans="1:12" ht="12.75">
      <c r="A229" s="560" t="s">
        <v>2962</v>
      </c>
      <c r="B229" s="559">
        <v>123556</v>
      </c>
      <c r="C229" s="559">
        <v>12010</v>
      </c>
      <c r="D229" s="559" t="s">
        <v>1841</v>
      </c>
      <c r="E229" s="558"/>
      <c r="F229" s="559" t="s">
        <v>2600</v>
      </c>
      <c r="G229" s="559" t="s">
        <v>2963</v>
      </c>
      <c r="H229" s="559" t="s">
        <v>2601</v>
      </c>
      <c r="I229" s="566">
        <v>0</v>
      </c>
      <c r="J229" s="566">
        <v>801395.45</v>
      </c>
      <c r="L229" s="223"/>
    </row>
    <row r="230" spans="1:12" ht="12.75">
      <c r="A230" s="558"/>
      <c r="B230" s="559">
        <v>131192</v>
      </c>
      <c r="C230" s="559">
        <v>13011</v>
      </c>
      <c r="D230" s="559" t="s">
        <v>1841</v>
      </c>
      <c r="E230" s="558"/>
      <c r="F230" s="559" t="s">
        <v>2964</v>
      </c>
      <c r="G230" s="559" t="s">
        <v>2965</v>
      </c>
      <c r="H230" s="559" t="s">
        <v>2612</v>
      </c>
      <c r="I230" s="566">
        <v>0</v>
      </c>
      <c r="J230" s="566">
        <v>78200</v>
      </c>
      <c r="L230" s="223"/>
    </row>
    <row r="231" spans="1:12" ht="12.75">
      <c r="A231" s="558"/>
      <c r="B231" s="559">
        <v>131200</v>
      </c>
      <c r="C231" s="559">
        <v>13014</v>
      </c>
      <c r="D231" s="559" t="s">
        <v>1841</v>
      </c>
      <c r="E231" s="558"/>
      <c r="F231" s="559" t="s">
        <v>2966</v>
      </c>
      <c r="G231" s="559" t="s">
        <v>2967</v>
      </c>
      <c r="H231" s="559" t="s">
        <v>2968</v>
      </c>
      <c r="I231" s="566">
        <v>0</v>
      </c>
      <c r="J231" s="566">
        <v>78200</v>
      </c>
      <c r="L231" s="223"/>
    </row>
    <row r="232" spans="1:12" ht="12.75">
      <c r="A232" s="558"/>
      <c r="B232" s="559">
        <v>131528</v>
      </c>
      <c r="C232" s="559">
        <v>13017</v>
      </c>
      <c r="D232" s="559" t="s">
        <v>1841</v>
      </c>
      <c r="E232" s="558"/>
      <c r="F232" s="559" t="s">
        <v>2969</v>
      </c>
      <c r="G232" s="559" t="s">
        <v>2970</v>
      </c>
      <c r="H232" s="559" t="s">
        <v>2971</v>
      </c>
      <c r="I232" s="566">
        <v>0</v>
      </c>
      <c r="J232" s="566">
        <v>78200</v>
      </c>
      <c r="L232" s="223"/>
    </row>
    <row r="233" spans="1:12" ht="12.75">
      <c r="A233" s="558"/>
      <c r="B233" s="559">
        <v>131913</v>
      </c>
      <c r="C233" s="559">
        <v>13020</v>
      </c>
      <c r="D233" s="559" t="s">
        <v>1841</v>
      </c>
      <c r="E233" s="558"/>
      <c r="F233" s="559" t="s">
        <v>2972</v>
      </c>
      <c r="G233" s="559" t="s">
        <v>2973</v>
      </c>
      <c r="H233" s="559" t="s">
        <v>2974</v>
      </c>
      <c r="I233" s="566">
        <v>0</v>
      </c>
      <c r="J233" s="566">
        <v>78200</v>
      </c>
      <c r="L233" s="223"/>
    </row>
    <row r="234" spans="1:12" ht="12.75">
      <c r="A234" s="558"/>
      <c r="B234" s="559">
        <v>132204</v>
      </c>
      <c r="C234" s="559">
        <v>13023</v>
      </c>
      <c r="D234" s="559" t="s">
        <v>1841</v>
      </c>
      <c r="E234" s="558"/>
      <c r="F234" s="559" t="s">
        <v>2975</v>
      </c>
      <c r="G234" s="559" t="s">
        <v>2976</v>
      </c>
      <c r="H234" s="559" t="s">
        <v>2977</v>
      </c>
      <c r="I234" s="566">
        <v>0</v>
      </c>
      <c r="J234" s="566">
        <v>78200</v>
      </c>
      <c r="L234" s="223"/>
    </row>
    <row r="235" spans="1:12" ht="12.75">
      <c r="A235" s="558"/>
      <c r="B235" s="559">
        <v>132538</v>
      </c>
      <c r="C235" s="559">
        <v>13026</v>
      </c>
      <c r="D235" s="559" t="s">
        <v>1841</v>
      </c>
      <c r="E235" s="558"/>
      <c r="F235" s="559" t="s">
        <v>2978</v>
      </c>
      <c r="G235" s="559" t="s">
        <v>2979</v>
      </c>
      <c r="H235" s="559" t="s">
        <v>2980</v>
      </c>
      <c r="I235" s="566">
        <v>0</v>
      </c>
      <c r="J235" s="566">
        <v>78200</v>
      </c>
      <c r="L235" s="223"/>
    </row>
    <row r="236" spans="1:12" ht="12.75">
      <c r="A236" s="558"/>
      <c r="B236" s="559">
        <v>132838</v>
      </c>
      <c r="C236" s="559">
        <v>13029</v>
      </c>
      <c r="D236" s="559" t="s">
        <v>1841</v>
      </c>
      <c r="E236" s="558"/>
      <c r="F236" s="559" t="s">
        <v>2981</v>
      </c>
      <c r="G236" s="559" t="s">
        <v>2982</v>
      </c>
      <c r="H236" s="559" t="s">
        <v>2983</v>
      </c>
      <c r="I236" s="566">
        <v>0</v>
      </c>
      <c r="J236" s="566">
        <v>78200</v>
      </c>
      <c r="L236" s="223"/>
    </row>
    <row r="237" spans="1:12" ht="12.75">
      <c r="A237" s="558"/>
      <c r="B237" s="559">
        <v>133197</v>
      </c>
      <c r="C237" s="559">
        <v>13032</v>
      </c>
      <c r="D237" s="559" t="s">
        <v>1841</v>
      </c>
      <c r="E237" s="558"/>
      <c r="F237" s="559" t="s">
        <v>2984</v>
      </c>
      <c r="G237" s="559" t="s">
        <v>2985</v>
      </c>
      <c r="H237" s="559" t="s">
        <v>2986</v>
      </c>
      <c r="I237" s="566">
        <v>0</v>
      </c>
      <c r="J237" s="566">
        <v>78200</v>
      </c>
      <c r="L237" s="223"/>
    </row>
    <row r="238" spans="1:12" ht="12.75">
      <c r="A238" s="558"/>
      <c r="B238" s="559">
        <v>133513</v>
      </c>
      <c r="C238" s="559">
        <v>13035</v>
      </c>
      <c r="D238" s="559" t="s">
        <v>1841</v>
      </c>
      <c r="E238" s="558"/>
      <c r="F238" s="559" t="s">
        <v>2987</v>
      </c>
      <c r="G238" s="559" t="s">
        <v>2988</v>
      </c>
      <c r="H238" s="559" t="s">
        <v>2742</v>
      </c>
      <c r="I238" s="566">
        <v>0</v>
      </c>
      <c r="J238" s="566">
        <v>78200</v>
      </c>
      <c r="L238" s="223"/>
    </row>
    <row r="239" spans="1:12" ht="12.75">
      <c r="A239" s="558"/>
      <c r="B239" s="559">
        <v>140065</v>
      </c>
      <c r="C239" s="559">
        <v>1400001</v>
      </c>
      <c r="D239" s="559" t="s">
        <v>1841</v>
      </c>
      <c r="E239" s="558"/>
      <c r="F239" s="559" t="s">
        <v>2989</v>
      </c>
      <c r="G239" s="559" t="s">
        <v>2990</v>
      </c>
      <c r="H239" s="559" t="s">
        <v>2991</v>
      </c>
      <c r="I239" s="566">
        <v>0</v>
      </c>
      <c r="J239" s="566">
        <v>65700</v>
      </c>
      <c r="L239" s="223"/>
    </row>
    <row r="240" spans="1:12" ht="12.75">
      <c r="A240" s="558"/>
      <c r="B240" s="559">
        <v>140574</v>
      </c>
      <c r="C240" s="559">
        <v>1400004</v>
      </c>
      <c r="D240" s="559" t="s">
        <v>1841</v>
      </c>
      <c r="E240" s="558"/>
      <c r="F240" s="559" t="s">
        <v>2990</v>
      </c>
      <c r="G240" s="559" t="s">
        <v>2623</v>
      </c>
      <c r="H240" s="559" t="s">
        <v>2624</v>
      </c>
      <c r="I240" s="566">
        <v>0</v>
      </c>
      <c r="J240" s="566">
        <v>65700</v>
      </c>
      <c r="L240" s="223"/>
    </row>
    <row r="241" spans="1:12" ht="12.75">
      <c r="A241" s="558"/>
      <c r="B241" s="559">
        <v>140679</v>
      </c>
      <c r="C241" s="559">
        <v>1400007</v>
      </c>
      <c r="D241" s="559" t="s">
        <v>1841</v>
      </c>
      <c r="E241" s="558"/>
      <c r="F241" s="559" t="s">
        <v>2992</v>
      </c>
      <c r="G241" s="559" t="s">
        <v>2623</v>
      </c>
      <c r="H241" s="559" t="s">
        <v>2628</v>
      </c>
      <c r="I241" s="566">
        <v>0</v>
      </c>
      <c r="J241" s="566">
        <v>65700</v>
      </c>
      <c r="L241" s="223"/>
    </row>
    <row r="242" spans="1:12" ht="12.75">
      <c r="A242" s="558"/>
      <c r="B242" s="559">
        <v>141034</v>
      </c>
      <c r="C242" s="559">
        <v>1400010</v>
      </c>
      <c r="D242" s="559" t="s">
        <v>1841</v>
      </c>
      <c r="E242" s="558"/>
      <c r="F242" s="559" t="s">
        <v>2993</v>
      </c>
      <c r="G242" s="559" t="s">
        <v>2994</v>
      </c>
      <c r="H242" s="559" t="s">
        <v>2579</v>
      </c>
      <c r="I242" s="566">
        <v>0</v>
      </c>
      <c r="J242" s="566">
        <v>65700</v>
      </c>
      <c r="L242" s="223"/>
    </row>
    <row r="243" spans="1:12" ht="12.75">
      <c r="A243" s="558"/>
      <c r="B243" s="559">
        <v>141323</v>
      </c>
      <c r="C243" s="559">
        <v>1400014</v>
      </c>
      <c r="D243" s="559" t="s">
        <v>1841</v>
      </c>
      <c r="E243" s="558"/>
      <c r="F243" s="559" t="s">
        <v>2995</v>
      </c>
      <c r="G243" s="559" t="s">
        <v>2996</v>
      </c>
      <c r="H243" s="559" t="s">
        <v>2997</v>
      </c>
      <c r="I243" s="566">
        <v>0</v>
      </c>
      <c r="J243" s="566">
        <v>65700</v>
      </c>
      <c r="L243" s="223"/>
    </row>
    <row r="244" spans="1:12" ht="12.75">
      <c r="A244" s="558"/>
      <c r="B244" s="559">
        <v>141678</v>
      </c>
      <c r="C244" s="559">
        <v>1400017</v>
      </c>
      <c r="D244" s="559" t="s">
        <v>1841</v>
      </c>
      <c r="E244" s="558"/>
      <c r="F244" s="559" t="s">
        <v>2998</v>
      </c>
      <c r="G244" s="559" t="s">
        <v>2999</v>
      </c>
      <c r="H244" s="559" t="s">
        <v>2561</v>
      </c>
      <c r="I244" s="566">
        <v>0</v>
      </c>
      <c r="J244" s="566">
        <v>65700</v>
      </c>
      <c r="L244" s="223"/>
    </row>
    <row r="245" spans="1:12" ht="12.75">
      <c r="A245" s="560" t="s">
        <v>3000</v>
      </c>
      <c r="B245" s="559">
        <v>141939</v>
      </c>
      <c r="C245" s="559">
        <v>143000280</v>
      </c>
      <c r="D245" s="559" t="s">
        <v>3001</v>
      </c>
      <c r="E245" s="558"/>
      <c r="F245" s="559" t="s">
        <v>3002</v>
      </c>
      <c r="G245" s="559" t="s">
        <v>3003</v>
      </c>
      <c r="H245" s="559" t="s">
        <v>1758</v>
      </c>
      <c r="I245" s="566">
        <v>6.96</v>
      </c>
      <c r="J245" s="566">
        <v>0</v>
      </c>
      <c r="L245" s="223"/>
    </row>
    <row r="246" spans="1:12" ht="12.75">
      <c r="A246" s="558"/>
      <c r="B246" s="559">
        <v>141940</v>
      </c>
      <c r="C246" s="559">
        <v>143000281</v>
      </c>
      <c r="D246" s="559" t="s">
        <v>3004</v>
      </c>
      <c r="E246" s="558"/>
      <c r="F246" s="559" t="s">
        <v>3002</v>
      </c>
      <c r="G246" s="559" t="s">
        <v>3003</v>
      </c>
      <c r="H246" s="559" t="s">
        <v>1758</v>
      </c>
      <c r="I246" s="566">
        <v>49</v>
      </c>
      <c r="J246" s="566">
        <v>0</v>
      </c>
      <c r="L246" s="223"/>
    </row>
    <row r="247" spans="1:12" ht="12.75">
      <c r="A247" s="560" t="s">
        <v>2629</v>
      </c>
      <c r="B247" s="558"/>
      <c r="C247" s="558"/>
      <c r="D247" s="558"/>
      <c r="E247" s="564">
        <v>2848487.27</v>
      </c>
      <c r="F247" s="558"/>
      <c r="G247" s="558"/>
      <c r="H247" s="558"/>
      <c r="I247" s="567">
        <v>86352.59</v>
      </c>
      <c r="J247" s="568">
        <v>2762134.68</v>
      </c>
      <c r="L247" s="223"/>
    </row>
    <row r="248" spans="1:12">
      <c r="A248" s="215" t="s">
        <v>3005</v>
      </c>
      <c r="E248" s="224">
        <f>+osnova!G169</f>
        <v>-2837750.52</v>
      </c>
      <c r="L248" s="223"/>
    </row>
    <row r="249" spans="1:12">
      <c r="E249" s="223">
        <f>+E247+E248</f>
        <v>10736.75</v>
      </c>
      <c r="F249" s="215" t="s">
        <v>3006</v>
      </c>
      <c r="L249" s="223"/>
    </row>
    <row r="250" spans="1:12">
      <c r="E250" s="224"/>
    </row>
  </sheetData>
  <autoFilter ref="A3:J249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pane ySplit="1" topLeftCell="A2" activePane="bottomLeft" state="frozen"/>
      <selection pane="bottomLeft" activeCell="G17" sqref="G17"/>
    </sheetView>
  </sheetViews>
  <sheetFormatPr defaultRowHeight="11.25"/>
  <cols>
    <col min="1" max="1" width="5.42578125" style="215" bestFit="1" customWidth="1"/>
    <col min="2" max="2" width="11.7109375" style="215" bestFit="1" customWidth="1"/>
    <col min="3" max="3" width="30.42578125" style="215" bestFit="1" customWidth="1"/>
    <col min="4" max="4" width="15.85546875" style="215" bestFit="1" customWidth="1"/>
    <col min="5" max="5" width="9.42578125" style="215" bestFit="1" customWidth="1"/>
    <col min="6" max="6" width="5.5703125" style="215" bestFit="1" customWidth="1"/>
    <col min="7" max="7" width="13.85546875" style="215" bestFit="1" customWidth="1"/>
    <col min="8" max="8" width="4.140625" style="215" bestFit="1" customWidth="1"/>
    <col min="9" max="9" width="24.7109375" style="215" bestFit="1" customWidth="1"/>
    <col min="10" max="10" width="18.140625" style="215" bestFit="1" customWidth="1"/>
    <col min="11" max="11" width="7.42578125" style="215" bestFit="1" customWidth="1"/>
    <col min="12" max="12" width="9.140625" style="215"/>
    <col min="13" max="13" width="9.42578125" style="215" bestFit="1" customWidth="1"/>
    <col min="14" max="14" width="29.7109375" style="215" bestFit="1" customWidth="1"/>
    <col min="15" max="16384" width="9.140625" style="215"/>
  </cols>
  <sheetData>
    <row r="1" spans="1:14">
      <c r="A1" s="575" t="s">
        <v>1217</v>
      </c>
      <c r="B1" s="576" t="s">
        <v>1846</v>
      </c>
      <c r="C1" s="576" t="s">
        <v>1847</v>
      </c>
      <c r="D1" s="578" t="s">
        <v>1849</v>
      </c>
      <c r="E1" s="578" t="s">
        <v>1850</v>
      </c>
      <c r="F1" s="578" t="s">
        <v>1851</v>
      </c>
      <c r="G1" s="584" t="s">
        <v>1852</v>
      </c>
      <c r="H1" s="579" t="s">
        <v>768</v>
      </c>
      <c r="I1" s="580" t="s">
        <v>3032</v>
      </c>
      <c r="J1" s="580" t="s">
        <v>3033</v>
      </c>
      <c r="K1" s="581" t="s">
        <v>3034</v>
      </c>
      <c r="L1" s="574"/>
      <c r="M1" s="586" t="s">
        <v>1640</v>
      </c>
      <c r="N1" s="575" t="s">
        <v>3035</v>
      </c>
    </row>
    <row r="2" spans="1:14">
      <c r="A2" s="575" t="s">
        <v>397</v>
      </c>
      <c r="B2" s="576" t="s">
        <v>2119</v>
      </c>
      <c r="C2" s="576" t="s">
        <v>1085</v>
      </c>
      <c r="D2" s="583">
        <v>0</v>
      </c>
      <c r="E2" s="577">
        <v>1385.91</v>
      </c>
      <c r="F2" s="577">
        <v>0</v>
      </c>
      <c r="G2" s="585">
        <v>1385.91</v>
      </c>
      <c r="H2" s="575" t="s">
        <v>768</v>
      </c>
      <c r="I2" s="575">
        <v>0</v>
      </c>
      <c r="J2" s="575" t="s">
        <v>3036</v>
      </c>
      <c r="K2" s="582">
        <v>0</v>
      </c>
      <c r="L2" s="574"/>
      <c r="M2" s="574"/>
      <c r="N2" s="575" t="s">
        <v>396</v>
      </c>
    </row>
    <row r="3" spans="1:14">
      <c r="A3" s="575" t="s">
        <v>397</v>
      </c>
      <c r="B3" s="576" t="s">
        <v>2120</v>
      </c>
      <c r="C3" s="576" t="s">
        <v>3037</v>
      </c>
      <c r="D3" s="583">
        <v>0</v>
      </c>
      <c r="E3" s="577">
        <v>45269.99</v>
      </c>
      <c r="F3" s="577">
        <v>0</v>
      </c>
      <c r="G3" s="585">
        <v>45269.99</v>
      </c>
      <c r="H3" s="575" t="s">
        <v>768</v>
      </c>
      <c r="I3" s="575">
        <v>0</v>
      </c>
      <c r="J3" s="575" t="s">
        <v>3036</v>
      </c>
      <c r="K3" s="582">
        <v>0</v>
      </c>
      <c r="L3" s="574"/>
      <c r="M3" s="574"/>
      <c r="N3" s="575" t="s">
        <v>3012</v>
      </c>
    </row>
    <row r="4" spans="1:14">
      <c r="A4" s="575" t="s">
        <v>397</v>
      </c>
      <c r="B4" s="576" t="s">
        <v>2122</v>
      </c>
      <c r="C4" s="576" t="s">
        <v>3038</v>
      </c>
      <c r="D4" s="583">
        <v>0</v>
      </c>
      <c r="E4" s="577">
        <v>303163.28000000003</v>
      </c>
      <c r="F4" s="577">
        <v>0</v>
      </c>
      <c r="G4" s="585">
        <v>303163.28000000003</v>
      </c>
      <c r="H4" s="575" t="s">
        <v>768</v>
      </c>
      <c r="I4" s="575">
        <v>0</v>
      </c>
      <c r="J4" s="575" t="s">
        <v>3036</v>
      </c>
      <c r="K4" s="582">
        <v>0</v>
      </c>
      <c r="L4" s="574"/>
      <c r="M4" s="574"/>
      <c r="N4" s="575" t="s">
        <v>3014</v>
      </c>
    </row>
    <row r="5" spans="1:14">
      <c r="A5" s="575" t="s">
        <v>397</v>
      </c>
      <c r="B5" s="576" t="s">
        <v>2124</v>
      </c>
      <c r="C5" s="576" t="s">
        <v>3039</v>
      </c>
      <c r="D5" s="583">
        <v>0</v>
      </c>
      <c r="E5" s="577">
        <v>56274.96</v>
      </c>
      <c r="F5" s="577">
        <v>0</v>
      </c>
      <c r="G5" s="585">
        <v>56274.96</v>
      </c>
      <c r="H5" s="575" t="s">
        <v>768</v>
      </c>
      <c r="I5" s="575">
        <v>0</v>
      </c>
      <c r="J5" s="575" t="s">
        <v>3036</v>
      </c>
      <c r="K5" s="582">
        <v>0</v>
      </c>
      <c r="L5" s="574"/>
      <c r="M5" s="574"/>
      <c r="N5" s="588" t="s">
        <v>3014</v>
      </c>
    </row>
    <row r="6" spans="1:14">
      <c r="A6" s="575" t="s">
        <v>397</v>
      </c>
      <c r="B6" s="576" t="s">
        <v>2126</v>
      </c>
      <c r="C6" s="576" t="s">
        <v>3040</v>
      </c>
      <c r="D6" s="583">
        <v>0</v>
      </c>
      <c r="E6" s="577">
        <v>19511.060000000001</v>
      </c>
      <c r="F6" s="577">
        <v>0</v>
      </c>
      <c r="G6" s="585">
        <v>19511.060000000001</v>
      </c>
      <c r="H6" s="575" t="s">
        <v>768</v>
      </c>
      <c r="I6" s="575">
        <v>0</v>
      </c>
      <c r="J6" s="575" t="s">
        <v>3036</v>
      </c>
      <c r="K6" s="582">
        <v>0</v>
      </c>
      <c r="L6" s="574"/>
      <c r="M6" s="574"/>
      <c r="N6" s="588" t="s">
        <v>3016</v>
      </c>
    </row>
    <row r="7" spans="1:14">
      <c r="A7" s="575" t="s">
        <v>397</v>
      </c>
      <c r="B7" s="576" t="s">
        <v>2128</v>
      </c>
      <c r="C7" s="576" t="s">
        <v>2129</v>
      </c>
      <c r="D7" s="583">
        <v>0</v>
      </c>
      <c r="E7" s="577">
        <v>66487.929999999993</v>
      </c>
      <c r="F7" s="577">
        <v>0</v>
      </c>
      <c r="G7" s="585">
        <v>66487.929999999993</v>
      </c>
      <c r="H7" s="575" t="s">
        <v>768</v>
      </c>
      <c r="I7" s="575">
        <v>0</v>
      </c>
      <c r="J7" s="575" t="s">
        <v>3036</v>
      </c>
      <c r="K7" s="582">
        <v>0</v>
      </c>
      <c r="L7" s="574"/>
      <c r="M7" s="574"/>
      <c r="N7" s="575" t="s">
        <v>396</v>
      </c>
    </row>
    <row r="8" spans="1:14">
      <c r="A8" s="575" t="s">
        <v>397</v>
      </c>
      <c r="B8" s="576" t="s">
        <v>2130</v>
      </c>
      <c r="C8" s="576" t="s">
        <v>2131</v>
      </c>
      <c r="D8" s="583">
        <v>0</v>
      </c>
      <c r="E8" s="577">
        <v>199452.95</v>
      </c>
      <c r="F8" s="577">
        <v>0</v>
      </c>
      <c r="G8" s="585">
        <v>199452.95</v>
      </c>
      <c r="H8" s="575" t="s">
        <v>768</v>
      </c>
      <c r="I8" s="575">
        <v>0</v>
      </c>
      <c r="J8" s="575" t="s">
        <v>3036</v>
      </c>
      <c r="K8" s="582">
        <v>0</v>
      </c>
      <c r="L8" s="574"/>
      <c r="M8" s="574"/>
      <c r="N8" s="588" t="s">
        <v>3024</v>
      </c>
    </row>
    <row r="9" spans="1:14">
      <c r="A9" s="575" t="s">
        <v>397</v>
      </c>
      <c r="B9" s="576" t="s">
        <v>2132</v>
      </c>
      <c r="C9" s="576" t="s">
        <v>3041</v>
      </c>
      <c r="D9" s="583">
        <v>0</v>
      </c>
      <c r="E9" s="577">
        <v>39329.17</v>
      </c>
      <c r="F9" s="577">
        <v>0</v>
      </c>
      <c r="G9" s="585">
        <v>39329.17</v>
      </c>
      <c r="H9" s="575" t="s">
        <v>768</v>
      </c>
      <c r="I9" s="575">
        <v>0</v>
      </c>
      <c r="J9" s="575" t="s">
        <v>3036</v>
      </c>
      <c r="K9" s="582">
        <v>0</v>
      </c>
      <c r="L9" s="574"/>
      <c r="M9" s="574"/>
      <c r="N9" s="575" t="s">
        <v>3018</v>
      </c>
    </row>
    <row r="10" spans="1:14">
      <c r="A10" s="575" t="s">
        <v>397</v>
      </c>
      <c r="B10" s="576" t="s">
        <v>2134</v>
      </c>
      <c r="C10" s="576" t="s">
        <v>3042</v>
      </c>
      <c r="D10" s="583">
        <v>0</v>
      </c>
      <c r="E10" s="577">
        <v>26459.84</v>
      </c>
      <c r="F10" s="577">
        <v>0</v>
      </c>
      <c r="G10" s="585">
        <v>26459.84</v>
      </c>
      <c r="H10" s="575" t="s">
        <v>768</v>
      </c>
      <c r="I10" s="575">
        <v>0</v>
      </c>
      <c r="J10" s="575" t="s">
        <v>3036</v>
      </c>
      <c r="K10" s="582">
        <v>0</v>
      </c>
      <c r="L10" s="574"/>
      <c r="M10" s="574"/>
      <c r="N10" s="575" t="s">
        <v>1653</v>
      </c>
    </row>
    <row r="11" spans="1:14">
      <c r="A11" s="575" t="s">
        <v>397</v>
      </c>
      <c r="B11" s="576" t="s">
        <v>2136</v>
      </c>
      <c r="C11" s="576" t="s">
        <v>1094</v>
      </c>
      <c r="D11" s="583">
        <v>0</v>
      </c>
      <c r="E11" s="577">
        <v>5465.22</v>
      </c>
      <c r="F11" s="577">
        <v>0</v>
      </c>
      <c r="G11" s="585">
        <v>5465.22</v>
      </c>
      <c r="H11" s="575" t="s">
        <v>768</v>
      </c>
      <c r="I11" s="575">
        <v>0</v>
      </c>
      <c r="J11" s="575" t="s">
        <v>3036</v>
      </c>
      <c r="K11" s="582">
        <v>0</v>
      </c>
      <c r="L11" s="574"/>
      <c r="M11" s="574"/>
      <c r="N11" s="575" t="s">
        <v>1653</v>
      </c>
    </row>
    <row r="12" spans="1:14">
      <c r="A12" s="575" t="s">
        <v>397</v>
      </c>
      <c r="B12" s="576" t="s">
        <v>3043</v>
      </c>
      <c r="C12" s="576" t="s">
        <v>3044</v>
      </c>
      <c r="D12" s="583">
        <v>0</v>
      </c>
      <c r="E12" s="577">
        <v>0</v>
      </c>
      <c r="F12" s="577">
        <v>0</v>
      </c>
      <c r="G12" s="585">
        <v>0</v>
      </c>
      <c r="H12" s="575" t="s">
        <v>768</v>
      </c>
      <c r="I12" s="575">
        <v>0</v>
      </c>
      <c r="J12" s="575" t="s">
        <v>3036</v>
      </c>
      <c r="K12" s="582">
        <v>0</v>
      </c>
      <c r="N12" s="575" t="s">
        <v>1653</v>
      </c>
    </row>
    <row r="13" spans="1:14">
      <c r="A13" s="575" t="s">
        <v>397</v>
      </c>
      <c r="B13" s="576" t="s">
        <v>2141</v>
      </c>
      <c r="C13" s="576" t="s">
        <v>2142</v>
      </c>
      <c r="D13" s="583">
        <v>0</v>
      </c>
      <c r="E13" s="577">
        <v>323400</v>
      </c>
      <c r="F13" s="577">
        <v>0</v>
      </c>
      <c r="G13" s="585">
        <v>323400</v>
      </c>
      <c r="H13" s="575" t="s">
        <v>768</v>
      </c>
      <c r="I13" s="575">
        <v>0</v>
      </c>
      <c r="J13" s="575" t="s">
        <v>3036</v>
      </c>
      <c r="K13" s="582">
        <v>0</v>
      </c>
      <c r="N13" s="575" t="s">
        <v>1654</v>
      </c>
    </row>
    <row r="14" spans="1:14">
      <c r="A14" s="575" t="s">
        <v>397</v>
      </c>
      <c r="B14" s="576" t="s">
        <v>2143</v>
      </c>
      <c r="C14" s="576" t="s">
        <v>3045</v>
      </c>
      <c r="D14" s="583">
        <v>0</v>
      </c>
      <c r="E14" s="577">
        <v>8256.32</v>
      </c>
      <c r="F14" s="577">
        <v>0</v>
      </c>
      <c r="G14" s="585">
        <v>8256.32</v>
      </c>
      <c r="H14" s="575" t="s">
        <v>768</v>
      </c>
      <c r="I14" s="575">
        <v>0</v>
      </c>
      <c r="J14" s="575" t="s">
        <v>3036</v>
      </c>
      <c r="K14" s="582">
        <v>0</v>
      </c>
      <c r="N14" s="575" t="s">
        <v>1654</v>
      </c>
    </row>
    <row r="15" spans="1:14">
      <c r="A15" s="575" t="s">
        <v>397</v>
      </c>
      <c r="B15" s="576" t="s">
        <v>2145</v>
      </c>
      <c r="C15" s="576" t="s">
        <v>3046</v>
      </c>
      <c r="D15" s="583">
        <v>0</v>
      </c>
      <c r="E15" s="577">
        <v>5104.37</v>
      </c>
      <c r="F15" s="577">
        <v>0</v>
      </c>
      <c r="G15" s="585">
        <v>5104.37</v>
      </c>
      <c r="H15" s="575" t="s">
        <v>768</v>
      </c>
      <c r="I15" s="575">
        <v>0</v>
      </c>
      <c r="J15" s="575" t="s">
        <v>3036</v>
      </c>
      <c r="K15" s="582">
        <v>0</v>
      </c>
      <c r="N15" s="575" t="s">
        <v>396</v>
      </c>
    </row>
    <row r="16" spans="1:14">
      <c r="A16" s="575" t="s">
        <v>397</v>
      </c>
      <c r="B16" s="576" t="s">
        <v>2147</v>
      </c>
      <c r="C16" s="576" t="s">
        <v>3047</v>
      </c>
      <c r="D16" s="583">
        <v>0</v>
      </c>
      <c r="E16" s="577">
        <v>33804.67</v>
      </c>
      <c r="F16" s="577">
        <v>0</v>
      </c>
      <c r="G16" s="585">
        <v>33804.67</v>
      </c>
      <c r="H16" s="575" t="s">
        <v>768</v>
      </c>
      <c r="I16" s="575">
        <v>0</v>
      </c>
      <c r="J16" s="575" t="s">
        <v>3036</v>
      </c>
      <c r="K16" s="582">
        <v>0</v>
      </c>
      <c r="N16" s="575" t="s">
        <v>396</v>
      </c>
    </row>
    <row r="17" spans="1:14">
      <c r="A17" s="575" t="s">
        <v>397</v>
      </c>
      <c r="B17" s="576" t="s">
        <v>2149</v>
      </c>
      <c r="C17" s="576" t="s">
        <v>3048</v>
      </c>
      <c r="D17" s="583">
        <v>0</v>
      </c>
      <c r="E17" s="577">
        <v>37826.68</v>
      </c>
      <c r="F17" s="577">
        <v>0</v>
      </c>
      <c r="G17" s="585">
        <v>37826.68</v>
      </c>
      <c r="H17" s="575" t="s">
        <v>768</v>
      </c>
      <c r="I17" s="575">
        <v>0</v>
      </c>
      <c r="J17" s="575" t="s">
        <v>3036</v>
      </c>
      <c r="K17" s="582">
        <v>0</v>
      </c>
      <c r="N17" s="575" t="s">
        <v>396</v>
      </c>
    </row>
    <row r="18" spans="1:14">
      <c r="A18" s="575" t="s">
        <v>397</v>
      </c>
      <c r="B18" s="576" t="s">
        <v>2151</v>
      </c>
      <c r="C18" s="576" t="s">
        <v>3049</v>
      </c>
      <c r="D18" s="583">
        <v>0</v>
      </c>
      <c r="E18" s="577">
        <v>1756.19</v>
      </c>
      <c r="F18" s="577">
        <v>0</v>
      </c>
      <c r="G18" s="585">
        <v>1756.19</v>
      </c>
      <c r="H18" s="575" t="s">
        <v>768</v>
      </c>
      <c r="I18" s="575">
        <v>0</v>
      </c>
      <c r="J18" s="575" t="s">
        <v>3036</v>
      </c>
      <c r="K18" s="582">
        <v>0</v>
      </c>
      <c r="N18" s="575" t="s">
        <v>3022</v>
      </c>
    </row>
    <row r="19" spans="1:14">
      <c r="A19" s="575" t="s">
        <v>397</v>
      </c>
      <c r="B19" s="576" t="s">
        <v>2155</v>
      </c>
      <c r="C19" s="576" t="s">
        <v>3050</v>
      </c>
      <c r="D19" s="583">
        <v>0</v>
      </c>
      <c r="E19" s="577">
        <v>75104.899999999994</v>
      </c>
      <c r="F19" s="577">
        <v>0</v>
      </c>
      <c r="G19" s="585">
        <v>75104.899999999994</v>
      </c>
      <c r="H19" s="575" t="s">
        <v>768</v>
      </c>
      <c r="I19" s="575">
        <v>0</v>
      </c>
      <c r="J19" s="575" t="s">
        <v>3036</v>
      </c>
      <c r="K19" s="582">
        <v>0</v>
      </c>
      <c r="N19" s="575" t="s">
        <v>396</v>
      </c>
    </row>
    <row r="20" spans="1:14">
      <c r="A20" s="575" t="s">
        <v>397</v>
      </c>
      <c r="B20" s="576" t="s">
        <v>2157</v>
      </c>
      <c r="C20" s="576" t="s">
        <v>2158</v>
      </c>
      <c r="D20" s="583">
        <v>0</v>
      </c>
      <c r="E20" s="577">
        <v>71.709999999999994</v>
      </c>
      <c r="F20" s="577">
        <v>0</v>
      </c>
      <c r="G20" s="587">
        <v>71.709999999999994</v>
      </c>
      <c r="H20" s="575" t="s">
        <v>768</v>
      </c>
      <c r="I20" s="575">
        <v>0</v>
      </c>
      <c r="J20" s="575" t="s">
        <v>3036</v>
      </c>
      <c r="K20" s="582">
        <v>0</v>
      </c>
      <c r="M20" s="587">
        <v>71.709999999999994</v>
      </c>
      <c r="N20" s="575" t="s">
        <v>396</v>
      </c>
    </row>
    <row r="21" spans="1:14">
      <c r="A21" s="575" t="s">
        <v>397</v>
      </c>
      <c r="B21" s="576" t="s">
        <v>2159</v>
      </c>
      <c r="C21" s="576" t="s">
        <v>2160</v>
      </c>
      <c r="D21" s="583">
        <v>0</v>
      </c>
      <c r="E21" s="577">
        <v>363890.57</v>
      </c>
      <c r="F21" s="577">
        <v>0</v>
      </c>
      <c r="G21" s="587">
        <v>363890.57</v>
      </c>
      <c r="H21" s="575" t="s">
        <v>768</v>
      </c>
      <c r="I21" s="575">
        <v>0</v>
      </c>
      <c r="J21" s="575" t="s">
        <v>3036</v>
      </c>
      <c r="K21" s="582">
        <v>0</v>
      </c>
      <c r="M21" s="587">
        <v>363890.57</v>
      </c>
      <c r="N21" s="575" t="s">
        <v>3012</v>
      </c>
    </row>
    <row r="22" spans="1:14">
      <c r="A22" s="575" t="s">
        <v>397</v>
      </c>
      <c r="B22" s="576" t="s">
        <v>2161</v>
      </c>
      <c r="C22" s="576" t="s">
        <v>2162</v>
      </c>
      <c r="D22" s="583">
        <v>0</v>
      </c>
      <c r="E22" s="577">
        <v>1107.95</v>
      </c>
      <c r="F22" s="577">
        <v>0</v>
      </c>
      <c r="G22" s="587">
        <v>1107.95</v>
      </c>
      <c r="H22" s="575" t="s">
        <v>768</v>
      </c>
      <c r="I22" s="575">
        <v>0</v>
      </c>
      <c r="J22" s="575" t="s">
        <v>3036</v>
      </c>
      <c r="K22" s="582">
        <v>0</v>
      </c>
      <c r="M22" s="587">
        <v>1107.95</v>
      </c>
      <c r="N22" s="575" t="s">
        <v>3014</v>
      </c>
    </row>
    <row r="23" spans="1:14">
      <c r="A23" s="575" t="s">
        <v>397</v>
      </c>
      <c r="B23" s="576" t="s">
        <v>2163</v>
      </c>
      <c r="C23" s="576" t="s">
        <v>2164</v>
      </c>
      <c r="D23" s="583">
        <v>0</v>
      </c>
      <c r="E23" s="577">
        <v>206.04</v>
      </c>
      <c r="F23" s="577">
        <v>0</v>
      </c>
      <c r="G23" s="587">
        <v>206.04</v>
      </c>
      <c r="H23" s="575" t="s">
        <v>768</v>
      </c>
      <c r="I23" s="575">
        <v>0</v>
      </c>
      <c r="J23" s="575" t="s">
        <v>3036</v>
      </c>
      <c r="K23" s="582">
        <v>0</v>
      </c>
      <c r="M23" s="587">
        <v>206.04</v>
      </c>
      <c r="N23" s="588" t="s">
        <v>3014</v>
      </c>
    </row>
    <row r="24" spans="1:14">
      <c r="A24" s="575" t="s">
        <v>397</v>
      </c>
      <c r="B24" s="576" t="s">
        <v>2165</v>
      </c>
      <c r="C24" s="576" t="s">
        <v>3051</v>
      </c>
      <c r="D24" s="583">
        <v>0</v>
      </c>
      <c r="E24" s="577">
        <v>218.84</v>
      </c>
      <c r="F24" s="577">
        <v>0</v>
      </c>
      <c r="G24" s="587">
        <v>218.84</v>
      </c>
      <c r="H24" s="575" t="s">
        <v>768</v>
      </c>
      <c r="I24" s="575">
        <v>0</v>
      </c>
      <c r="J24" s="575" t="s">
        <v>3036</v>
      </c>
      <c r="K24" s="582">
        <v>0</v>
      </c>
      <c r="M24" s="587">
        <v>218.84</v>
      </c>
      <c r="N24" s="588" t="s">
        <v>3016</v>
      </c>
    </row>
    <row r="25" spans="1:14">
      <c r="A25" s="575" t="s">
        <v>397</v>
      </c>
      <c r="B25" s="576" t="s">
        <v>2167</v>
      </c>
      <c r="C25" s="576" t="s">
        <v>2168</v>
      </c>
      <c r="D25" s="583">
        <v>0</v>
      </c>
      <c r="E25" s="577">
        <v>932.47</v>
      </c>
      <c r="F25" s="577">
        <v>0</v>
      </c>
      <c r="G25" s="587">
        <v>932.47</v>
      </c>
      <c r="H25" s="575" t="s">
        <v>768</v>
      </c>
      <c r="I25" s="575">
        <v>0</v>
      </c>
      <c r="J25" s="575" t="s">
        <v>3036</v>
      </c>
      <c r="K25" s="582">
        <v>0</v>
      </c>
      <c r="M25" s="587">
        <v>932.47</v>
      </c>
      <c r="N25" s="588" t="s">
        <v>3024</v>
      </c>
    </row>
    <row r="26" spans="1:14">
      <c r="A26" s="575" t="s">
        <v>397</v>
      </c>
      <c r="B26" s="576" t="s">
        <v>2169</v>
      </c>
      <c r="C26" s="576" t="s">
        <v>2170</v>
      </c>
      <c r="D26" s="583">
        <v>0</v>
      </c>
      <c r="E26" s="577">
        <v>185.73</v>
      </c>
      <c r="F26" s="577">
        <v>0</v>
      </c>
      <c r="G26" s="587">
        <v>185.73</v>
      </c>
      <c r="H26" s="575" t="s">
        <v>768</v>
      </c>
      <c r="I26" s="575">
        <v>0</v>
      </c>
      <c r="J26" s="575" t="s">
        <v>3036</v>
      </c>
      <c r="K26" s="582">
        <v>0</v>
      </c>
      <c r="M26" s="587">
        <v>185.73</v>
      </c>
      <c r="N26" s="575" t="s">
        <v>3018</v>
      </c>
    </row>
    <row r="27" spans="1:14">
      <c r="A27" s="575" t="s">
        <v>397</v>
      </c>
      <c r="B27" s="576" t="s">
        <v>2171</v>
      </c>
      <c r="C27" s="576" t="s">
        <v>1093</v>
      </c>
      <c r="D27" s="583">
        <v>0</v>
      </c>
      <c r="E27" s="577">
        <v>1518.48</v>
      </c>
      <c r="F27" s="577">
        <v>0</v>
      </c>
      <c r="G27" s="587">
        <v>1518.48</v>
      </c>
      <c r="H27" s="575" t="s">
        <v>768</v>
      </c>
      <c r="I27" s="575">
        <v>0</v>
      </c>
      <c r="J27" s="575" t="s">
        <v>3036</v>
      </c>
      <c r="K27" s="582">
        <v>0</v>
      </c>
      <c r="M27" s="587">
        <v>1518.48</v>
      </c>
      <c r="N27" s="575" t="s">
        <v>1653</v>
      </c>
    </row>
    <row r="28" spans="1:14">
      <c r="A28" s="575" t="s">
        <v>397</v>
      </c>
      <c r="B28" s="576" t="s">
        <v>2172</v>
      </c>
      <c r="C28" s="576" t="s">
        <v>2173</v>
      </c>
      <c r="D28" s="583">
        <v>0</v>
      </c>
      <c r="E28" s="577">
        <v>365.59</v>
      </c>
      <c r="F28" s="577">
        <v>0</v>
      </c>
      <c r="G28" s="587">
        <v>365.59</v>
      </c>
      <c r="H28" s="575" t="s">
        <v>768</v>
      </c>
      <c r="I28" s="575">
        <v>0</v>
      </c>
      <c r="J28" s="575" t="s">
        <v>3036</v>
      </c>
      <c r="K28" s="582">
        <v>0</v>
      </c>
      <c r="M28" s="587">
        <v>365.59</v>
      </c>
      <c r="N28" s="575" t="s">
        <v>1653</v>
      </c>
    </row>
    <row r="29" spans="1:14">
      <c r="A29" s="575" t="s">
        <v>397</v>
      </c>
      <c r="B29" s="576" t="s">
        <v>3052</v>
      </c>
      <c r="C29" s="576" t="s">
        <v>3053</v>
      </c>
      <c r="D29" s="583">
        <v>0</v>
      </c>
      <c r="E29" s="577">
        <v>0</v>
      </c>
      <c r="F29" s="577">
        <v>0</v>
      </c>
      <c r="G29" s="585">
        <v>0</v>
      </c>
      <c r="H29" s="575" t="s">
        <v>768</v>
      </c>
      <c r="I29" s="575">
        <v>0</v>
      </c>
      <c r="J29" s="575" t="s">
        <v>3036</v>
      </c>
      <c r="K29" s="582">
        <v>0</v>
      </c>
      <c r="N29" s="575" t="s">
        <v>1653</v>
      </c>
    </row>
    <row r="30" spans="1:14">
      <c r="A30" s="575" t="s">
        <v>397</v>
      </c>
      <c r="B30" s="576" t="s">
        <v>2174</v>
      </c>
      <c r="C30" s="576" t="s">
        <v>2175</v>
      </c>
      <c r="D30" s="583">
        <v>0</v>
      </c>
      <c r="E30" s="577">
        <v>138600</v>
      </c>
      <c r="F30" s="577">
        <v>0</v>
      </c>
      <c r="G30" s="587">
        <v>138600</v>
      </c>
      <c r="H30" s="575" t="s">
        <v>768</v>
      </c>
      <c r="I30" s="575">
        <v>0</v>
      </c>
      <c r="J30" s="575" t="s">
        <v>3036</v>
      </c>
      <c r="K30" s="582">
        <v>0</v>
      </c>
      <c r="M30" s="587">
        <v>138600</v>
      </c>
      <c r="N30" s="575" t="s">
        <v>1654</v>
      </c>
    </row>
    <row r="31" spans="1:14">
      <c r="A31" s="575" t="s">
        <v>397</v>
      </c>
      <c r="B31" s="576" t="s">
        <v>2176</v>
      </c>
      <c r="C31" s="576" t="s">
        <v>2177</v>
      </c>
      <c r="D31" s="583">
        <v>0</v>
      </c>
      <c r="E31" s="577">
        <v>552.29999999999995</v>
      </c>
      <c r="F31" s="577">
        <v>0</v>
      </c>
      <c r="G31" s="587">
        <v>552.29999999999995</v>
      </c>
      <c r="H31" s="575" t="s">
        <v>768</v>
      </c>
      <c r="I31" s="575">
        <v>0</v>
      </c>
      <c r="J31" s="575" t="s">
        <v>3036</v>
      </c>
      <c r="K31" s="582">
        <v>0</v>
      </c>
      <c r="M31" s="587">
        <v>552.29999999999995</v>
      </c>
      <c r="N31" s="575" t="s">
        <v>1654</v>
      </c>
    </row>
    <row r="32" spans="1:14">
      <c r="A32" s="575" t="s">
        <v>397</v>
      </c>
      <c r="B32" s="576" t="s">
        <v>2178</v>
      </c>
      <c r="C32" s="576" t="s">
        <v>2179</v>
      </c>
      <c r="D32" s="583">
        <v>0</v>
      </c>
      <c r="E32" s="577">
        <v>109.07</v>
      </c>
      <c r="F32" s="577">
        <v>0</v>
      </c>
      <c r="G32" s="587">
        <v>109.07</v>
      </c>
      <c r="H32" s="575" t="s">
        <v>768</v>
      </c>
      <c r="I32" s="575">
        <v>0</v>
      </c>
      <c r="J32" s="575" t="s">
        <v>3036</v>
      </c>
      <c r="K32" s="582">
        <v>0</v>
      </c>
      <c r="M32" s="587">
        <v>109.07</v>
      </c>
      <c r="N32" s="575" t="s">
        <v>396</v>
      </c>
    </row>
    <row r="33" spans="1:14">
      <c r="A33" s="575" t="s">
        <v>397</v>
      </c>
      <c r="B33" s="576" t="s">
        <v>2180</v>
      </c>
      <c r="C33" s="576" t="s">
        <v>2181</v>
      </c>
      <c r="D33" s="583">
        <v>0</v>
      </c>
      <c r="E33" s="577">
        <v>30.04</v>
      </c>
      <c r="F33" s="577">
        <v>0</v>
      </c>
      <c r="G33" s="587">
        <v>30.04</v>
      </c>
      <c r="H33" s="575" t="s">
        <v>768</v>
      </c>
      <c r="I33" s="575">
        <v>0</v>
      </c>
      <c r="J33" s="575" t="s">
        <v>3036</v>
      </c>
      <c r="K33" s="582">
        <v>0</v>
      </c>
      <c r="M33" s="587">
        <v>30.04</v>
      </c>
      <c r="N33" s="575" t="s">
        <v>396</v>
      </c>
    </row>
    <row r="34" spans="1:14">
      <c r="A34" s="575" t="s">
        <v>397</v>
      </c>
      <c r="B34" s="576" t="s">
        <v>2182</v>
      </c>
      <c r="C34" s="576" t="s">
        <v>2183</v>
      </c>
      <c r="D34" s="583">
        <v>0</v>
      </c>
      <c r="E34" s="577">
        <v>25.35</v>
      </c>
      <c r="F34" s="577">
        <v>0</v>
      </c>
      <c r="G34" s="587">
        <v>25.35</v>
      </c>
      <c r="H34" s="575" t="s">
        <v>768</v>
      </c>
      <c r="I34" s="575">
        <v>0</v>
      </c>
      <c r="J34" s="575" t="s">
        <v>3036</v>
      </c>
      <c r="K34" s="582">
        <v>0</v>
      </c>
      <c r="M34" s="587">
        <v>25.35</v>
      </c>
      <c r="N34" s="575" t="s">
        <v>3022</v>
      </c>
    </row>
    <row r="35" spans="1:14">
      <c r="A35" s="575" t="s">
        <v>397</v>
      </c>
      <c r="B35" s="576" t="s">
        <v>2184</v>
      </c>
      <c r="C35" s="576" t="s">
        <v>2185</v>
      </c>
      <c r="D35" s="583">
        <v>0</v>
      </c>
      <c r="E35" s="577">
        <v>1788.35</v>
      </c>
      <c r="F35" s="577">
        <v>0</v>
      </c>
      <c r="G35" s="587">
        <v>1788.35</v>
      </c>
      <c r="H35" s="575" t="s">
        <v>768</v>
      </c>
      <c r="I35" s="575">
        <v>0</v>
      </c>
      <c r="J35" s="575" t="s">
        <v>3036</v>
      </c>
      <c r="K35" s="582">
        <v>0</v>
      </c>
      <c r="M35" s="587">
        <v>1788.35</v>
      </c>
      <c r="N35" s="575" t="s">
        <v>396</v>
      </c>
    </row>
  </sheetData>
  <autoFilter ref="A1:N3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30"/>
  <sheetViews>
    <sheetView tabSelected="1" zoomScale="90" zoomScaleNormal="90" zoomScaleSheetLayoutView="70" workbookViewId="0">
      <pane xSplit="2" ySplit="3" topLeftCell="C4" activePane="bottomRight" state="frozen"/>
      <selection activeCell="C30" sqref="C30:D30"/>
      <selection pane="topRight" activeCell="C30" sqref="C30:D30"/>
      <selection pane="bottomLeft" activeCell="C30" sqref="C30:D30"/>
      <selection pane="bottomRight" activeCell="D1" sqref="D1"/>
    </sheetView>
  </sheetViews>
  <sheetFormatPr defaultRowHeight="12"/>
  <cols>
    <col min="1" max="1" width="2.5703125" style="1" customWidth="1"/>
    <col min="2" max="2" width="48.7109375" style="2" customWidth="1"/>
    <col min="3" max="3" width="4" style="1" customWidth="1"/>
    <col min="4" max="4" width="19.5703125" style="1" customWidth="1"/>
    <col min="5" max="5" width="18.140625" style="1" customWidth="1"/>
    <col min="6" max="6" width="17.28515625" style="1" customWidth="1"/>
    <col min="7" max="7" width="18" style="1" customWidth="1"/>
    <col min="8" max="8" width="4.28515625" style="90" customWidth="1"/>
    <col min="9" max="16384" width="9.140625" style="1"/>
  </cols>
  <sheetData>
    <row r="1" spans="1:10">
      <c r="A1" s="1" t="s">
        <v>1696</v>
      </c>
      <c r="D1" s="349" t="s">
        <v>891</v>
      </c>
      <c r="E1" s="349">
        <f>'input data'!C20</f>
        <v>37887335</v>
      </c>
      <c r="F1" s="349" t="s">
        <v>900</v>
      </c>
    </row>
    <row r="2" spans="1:10">
      <c r="D2" s="349"/>
      <c r="E2" s="349"/>
      <c r="F2" s="349"/>
    </row>
    <row r="3" spans="1:10" ht="36">
      <c r="A3" s="660" t="s">
        <v>0</v>
      </c>
      <c r="B3" s="661"/>
      <c r="C3" s="3" t="s">
        <v>1</v>
      </c>
      <c r="D3" s="664" t="s">
        <v>2</v>
      </c>
      <c r="E3" s="665"/>
      <c r="F3" s="666"/>
      <c r="G3" s="5" t="s">
        <v>3</v>
      </c>
    </row>
    <row r="4" spans="1:10">
      <c r="A4" s="662"/>
      <c r="B4" s="663"/>
      <c r="C4" s="6"/>
      <c r="D4" s="4" t="s">
        <v>4</v>
      </c>
      <c r="E4" s="3" t="s">
        <v>5</v>
      </c>
      <c r="F4" s="3" t="s">
        <v>6</v>
      </c>
      <c r="G4" s="3" t="s">
        <v>6</v>
      </c>
      <c r="H4" s="91"/>
    </row>
    <row r="5" spans="1:10">
      <c r="A5" s="667" t="s">
        <v>7</v>
      </c>
      <c r="B5" s="668"/>
      <c r="C5" s="3" t="s">
        <v>8</v>
      </c>
      <c r="D5" s="7">
        <v>1</v>
      </c>
      <c r="E5" s="7">
        <v>2</v>
      </c>
      <c r="F5" s="7">
        <v>3</v>
      </c>
      <c r="G5" s="3">
        <v>4</v>
      </c>
      <c r="H5" s="91"/>
    </row>
    <row r="6" spans="1:10" ht="12.75">
      <c r="A6" s="669" t="s">
        <v>9</v>
      </c>
      <c r="B6" s="670"/>
      <c r="C6" s="8" t="s">
        <v>10</v>
      </c>
      <c r="D6" s="225">
        <f>D7+D14+D26</f>
        <v>0</v>
      </c>
      <c r="E6" s="225">
        <f>E7+E14+E26</f>
        <v>0</v>
      </c>
      <c r="F6" s="225">
        <f>F7+F14+F26</f>
        <v>0</v>
      </c>
      <c r="G6" s="225">
        <v>22054.74</v>
      </c>
      <c r="H6" s="91"/>
    </row>
    <row r="7" spans="1:10" ht="12.75">
      <c r="A7" s="646" t="s">
        <v>11</v>
      </c>
      <c r="B7" s="9" t="s">
        <v>1720</v>
      </c>
      <c r="C7" s="10" t="s">
        <v>12</v>
      </c>
      <c r="D7" s="226">
        <f>SUM(D8:D13)</f>
        <v>0</v>
      </c>
      <c r="E7" s="225">
        <f>SUM(E8:E13)</f>
        <v>0</v>
      </c>
      <c r="F7" s="225">
        <f t="shared" ref="F7:F13" si="0">D7-E7</f>
        <v>0</v>
      </c>
      <c r="G7" s="225">
        <v>4125</v>
      </c>
      <c r="H7" s="91"/>
    </row>
    <row r="8" spans="1:10" ht="24">
      <c r="A8" s="652"/>
      <c r="B8" s="12" t="s">
        <v>13</v>
      </c>
      <c r="C8" s="13" t="s">
        <v>14</v>
      </c>
      <c r="D8" s="227">
        <f>SUMIF(osnova!B:B,$C8&amp;"B",osnova!G:G)</f>
        <v>0</v>
      </c>
      <c r="E8" s="227">
        <f>-SUMIF(osnova!B:B,$C8&amp;"K",osnova!G:G)</f>
        <v>0</v>
      </c>
      <c r="F8" s="227">
        <f t="shared" si="0"/>
        <v>0</v>
      </c>
      <c r="G8" s="227" t="s">
        <v>1220</v>
      </c>
      <c r="H8" s="91"/>
      <c r="J8" s="74"/>
    </row>
    <row r="9" spans="1:10" ht="12.75">
      <c r="A9" s="652"/>
      <c r="B9" s="14" t="s">
        <v>15</v>
      </c>
      <c r="C9" s="11" t="s">
        <v>16</v>
      </c>
      <c r="D9" s="227">
        <f>SUMIF(osnova!B:B,$C9&amp;"B",osnova!G:G)</f>
        <v>0</v>
      </c>
      <c r="E9" s="227">
        <f>-SUMIF(osnova!B:B,$C9&amp;"K",osnova!G:G)</f>
        <v>0</v>
      </c>
      <c r="F9" s="227">
        <f t="shared" si="0"/>
        <v>0</v>
      </c>
      <c r="G9" s="227">
        <v>4125</v>
      </c>
      <c r="H9" s="91"/>
      <c r="J9" s="74"/>
    </row>
    <row r="10" spans="1:10" ht="12.75">
      <c r="A10" s="652"/>
      <c r="B10" s="14" t="s">
        <v>1733</v>
      </c>
      <c r="C10" s="11" t="s">
        <v>17</v>
      </c>
      <c r="D10" s="227">
        <f>SUMIF(osnova!B:B,$C10&amp;"B",osnova!G:G)</f>
        <v>0</v>
      </c>
      <c r="E10" s="227">
        <f>-SUMIF(osnova!B:B,$C10&amp;"K",osnova!G:G)</f>
        <v>0</v>
      </c>
      <c r="F10" s="227">
        <f t="shared" si="0"/>
        <v>0</v>
      </c>
      <c r="G10" s="227" t="s">
        <v>1220</v>
      </c>
      <c r="H10" s="91"/>
      <c r="J10" s="74"/>
    </row>
    <row r="11" spans="1:10" ht="24">
      <c r="A11" s="652"/>
      <c r="B11" s="14" t="s">
        <v>18</v>
      </c>
      <c r="C11" s="11" t="s">
        <v>19</v>
      </c>
      <c r="D11" s="227">
        <f>SUMIF(osnova!B:B,$C11&amp;"B",osnova!G:G)</f>
        <v>0</v>
      </c>
      <c r="E11" s="227">
        <f>-SUMIF(osnova!B:B,$C11&amp;"K",osnova!G:G)</f>
        <v>0</v>
      </c>
      <c r="F11" s="227">
        <f t="shared" si="0"/>
        <v>0</v>
      </c>
      <c r="G11" s="227" t="s">
        <v>1220</v>
      </c>
      <c r="H11" s="91"/>
      <c r="J11" s="74"/>
    </row>
    <row r="12" spans="1:10" ht="12.75" customHeight="1">
      <c r="A12" s="652"/>
      <c r="B12" s="14" t="s">
        <v>20</v>
      </c>
      <c r="C12" s="11" t="s">
        <v>21</v>
      </c>
      <c r="D12" s="227">
        <f>SUMIF(osnova!B:B,$C12&amp;"B",osnova!G:G)</f>
        <v>0</v>
      </c>
      <c r="E12" s="227">
        <f>-SUMIF(osnova!B:B,$C12&amp;"K",osnova!G:G)</f>
        <v>0</v>
      </c>
      <c r="F12" s="227">
        <f t="shared" si="0"/>
        <v>0</v>
      </c>
      <c r="G12" s="227" t="s">
        <v>1220</v>
      </c>
      <c r="H12" s="91"/>
      <c r="J12" s="74"/>
    </row>
    <row r="13" spans="1:10" ht="24">
      <c r="A13" s="652"/>
      <c r="B13" s="14" t="s">
        <v>22</v>
      </c>
      <c r="C13" s="11" t="s">
        <v>23</v>
      </c>
      <c r="D13" s="227">
        <f>SUMIF(osnova!B:B,$C13&amp;"B",osnova!G:G)</f>
        <v>0</v>
      </c>
      <c r="E13" s="227">
        <f>-SUMIF(osnova!B:B,$C13&amp;"K",osnova!G:G)</f>
        <v>0</v>
      </c>
      <c r="F13" s="227">
        <f t="shared" si="0"/>
        <v>0</v>
      </c>
      <c r="G13" s="227" t="s">
        <v>1220</v>
      </c>
      <c r="H13" s="91"/>
      <c r="J13" s="74"/>
    </row>
    <row r="14" spans="1:10" ht="12.75">
      <c r="A14" s="671" t="s">
        <v>24</v>
      </c>
      <c r="B14" s="15" t="s">
        <v>1719</v>
      </c>
      <c r="C14" s="16" t="s">
        <v>25</v>
      </c>
      <c r="D14" s="225">
        <f>SUM(D15:D25)</f>
        <v>0</v>
      </c>
      <c r="E14" s="225">
        <f>SUM(E15:E25)</f>
        <v>0</v>
      </c>
      <c r="F14" s="225">
        <f>SUM(F15:F25)</f>
        <v>0</v>
      </c>
      <c r="G14" s="225">
        <v>17929.740000000002</v>
      </c>
      <c r="H14" s="91"/>
    </row>
    <row r="15" spans="1:10" ht="12.75">
      <c r="A15" s="672"/>
      <c r="B15" s="14" t="s">
        <v>1721</v>
      </c>
      <c r="C15" s="11" t="s">
        <v>26</v>
      </c>
      <c r="D15" s="227">
        <f>SUMIF(osnova!B:B,$C15&amp;"B",osnova!G:G)</f>
        <v>0</v>
      </c>
      <c r="E15" s="353" t="s">
        <v>768</v>
      </c>
      <c r="F15" s="227">
        <f>D15</f>
        <v>0</v>
      </c>
      <c r="G15" s="227" t="s">
        <v>1220</v>
      </c>
      <c r="H15" s="91"/>
      <c r="J15" s="74"/>
    </row>
    <row r="16" spans="1:10" ht="12.75">
      <c r="A16" s="672"/>
      <c r="B16" s="14" t="s">
        <v>27</v>
      </c>
      <c r="C16" s="11" t="s">
        <v>28</v>
      </c>
      <c r="D16" s="227">
        <f>SUMIF(osnova!B:B,$C16&amp;"B",osnova!G:G)</f>
        <v>0</v>
      </c>
      <c r="E16" s="353" t="s">
        <v>768</v>
      </c>
      <c r="F16" s="227">
        <f>D16</f>
        <v>0</v>
      </c>
      <c r="G16" s="227" t="s">
        <v>1220</v>
      </c>
      <c r="H16" s="91"/>
      <c r="J16" s="74"/>
    </row>
    <row r="17" spans="1:10" ht="12.75">
      <c r="A17" s="672"/>
      <c r="B17" s="17" t="s">
        <v>1722</v>
      </c>
      <c r="C17" s="11" t="s">
        <v>29</v>
      </c>
      <c r="D17" s="227">
        <f>SUMIF(osnova!B:B,$C17&amp;"B",osnova!G:G)</f>
        <v>0</v>
      </c>
      <c r="E17" s="227">
        <f>-SUMIF(osnova!B:B,$C17&amp;"K",osnova!G:G)</f>
        <v>0</v>
      </c>
      <c r="F17" s="227">
        <f t="shared" ref="F17:F25" si="1">D17-E17</f>
        <v>0</v>
      </c>
      <c r="G17" s="227" t="s">
        <v>1220</v>
      </c>
      <c r="H17" s="91"/>
      <c r="J17" s="74"/>
    </row>
    <row r="18" spans="1:10" ht="24">
      <c r="A18" s="672"/>
      <c r="B18" s="17" t="s">
        <v>1740</v>
      </c>
      <c r="C18" s="11" t="s">
        <v>30</v>
      </c>
      <c r="D18" s="227">
        <f>SUMIF(osnova!B:B,$C18&amp;"B",osnova!G:G)</f>
        <v>0</v>
      </c>
      <c r="E18" s="227">
        <f>-SUMIF(osnova!B:B,$C18&amp;"K",osnova!G:G)</f>
        <v>0</v>
      </c>
      <c r="F18" s="227">
        <f t="shared" si="1"/>
        <v>0</v>
      </c>
      <c r="G18" s="227">
        <v>15594.32</v>
      </c>
      <c r="H18" s="91"/>
      <c r="J18" s="74"/>
    </row>
    <row r="19" spans="1:10" ht="12.75">
      <c r="A19" s="672"/>
      <c r="B19" s="350" t="s">
        <v>1725</v>
      </c>
      <c r="C19" s="11" t="s">
        <v>31</v>
      </c>
      <c r="D19" s="227">
        <f>SUMIF(osnova!B:B,$C19&amp;"B",osnova!G:G)</f>
        <v>0</v>
      </c>
      <c r="E19" s="227">
        <f>-SUMIF(osnova!B:B,$C19&amp;"K",osnova!G:G)</f>
        <v>0</v>
      </c>
      <c r="F19" s="227">
        <f t="shared" si="1"/>
        <v>0</v>
      </c>
      <c r="G19" s="227">
        <v>2335.42</v>
      </c>
      <c r="H19" s="91"/>
      <c r="J19" s="74"/>
    </row>
    <row r="20" spans="1:10" ht="12.75">
      <c r="A20" s="672"/>
      <c r="B20" s="17" t="s">
        <v>1724</v>
      </c>
      <c r="C20" s="11" t="s">
        <v>32</v>
      </c>
      <c r="D20" s="227">
        <f>SUMIF(osnova!B:B,$C20&amp;"B",osnova!G:G)</f>
        <v>0</v>
      </c>
      <c r="E20" s="227">
        <f>-SUMIF(osnova!B:B,$C20&amp;"K",osnova!G:G)</f>
        <v>0</v>
      </c>
      <c r="F20" s="227">
        <f t="shared" si="1"/>
        <v>0</v>
      </c>
      <c r="G20" s="227" t="s">
        <v>1220</v>
      </c>
      <c r="H20" s="91"/>
      <c r="J20" s="74"/>
    </row>
    <row r="21" spans="1:10" ht="12.75">
      <c r="A21" s="672"/>
      <c r="B21" s="17" t="s">
        <v>1726</v>
      </c>
      <c r="C21" s="11" t="s">
        <v>33</v>
      </c>
      <c r="D21" s="227">
        <f>SUMIF(osnova!B:B,$C21&amp;"B",osnova!G:G)</f>
        <v>0</v>
      </c>
      <c r="E21" s="227">
        <f>-SUMIF(osnova!B:B,$C21&amp;"K",osnova!G:G)</f>
        <v>0</v>
      </c>
      <c r="F21" s="227">
        <f t="shared" si="1"/>
        <v>0</v>
      </c>
      <c r="G21" s="227" t="s">
        <v>1220</v>
      </c>
      <c r="H21" s="91"/>
      <c r="J21" s="74"/>
    </row>
    <row r="22" spans="1:10" ht="12.75" customHeight="1">
      <c r="A22" s="672"/>
      <c r="B22" s="17" t="s">
        <v>1723</v>
      </c>
      <c r="C22" s="11" t="s">
        <v>34</v>
      </c>
      <c r="D22" s="227">
        <f>SUMIF(osnova!B:B,$C22&amp;"B",osnova!G:G)</f>
        <v>0</v>
      </c>
      <c r="E22" s="227">
        <f>-SUMIF(osnova!B:B,$C22&amp;"K",osnova!G:G)</f>
        <v>0</v>
      </c>
      <c r="F22" s="227">
        <f t="shared" si="1"/>
        <v>0</v>
      </c>
      <c r="G22" s="227" t="s">
        <v>1220</v>
      </c>
      <c r="H22" s="91"/>
      <c r="J22" s="74"/>
    </row>
    <row r="23" spans="1:10" ht="12.75" customHeight="1">
      <c r="A23" s="672"/>
      <c r="B23" s="17" t="s">
        <v>35</v>
      </c>
      <c r="C23" s="11" t="s">
        <v>36</v>
      </c>
      <c r="D23" s="227">
        <f>SUMIF(osnova!B:B,$C23&amp;"B",osnova!G:G)</f>
        <v>0</v>
      </c>
      <c r="E23" s="227">
        <f>-SUMIF(osnova!B:B,$C23&amp;"K",osnova!G:G)</f>
        <v>0</v>
      </c>
      <c r="F23" s="227">
        <f t="shared" si="1"/>
        <v>0</v>
      </c>
      <c r="G23" s="227" t="s">
        <v>1220</v>
      </c>
      <c r="H23" s="91"/>
      <c r="J23" s="74"/>
    </row>
    <row r="24" spans="1:10" ht="12.75" customHeight="1">
      <c r="A24" s="672"/>
      <c r="B24" s="17" t="s">
        <v>1727</v>
      </c>
      <c r="C24" s="11" t="s">
        <v>37</v>
      </c>
      <c r="D24" s="227">
        <f>SUMIF(osnova!B:B,$C24&amp;"B",osnova!G:G)</f>
        <v>0</v>
      </c>
      <c r="E24" s="227">
        <f>-SUMIF(osnova!B:B,$C24&amp;"K",osnova!G:G)</f>
        <v>0</v>
      </c>
      <c r="F24" s="227">
        <f t="shared" si="1"/>
        <v>0</v>
      </c>
      <c r="G24" s="227" t="s">
        <v>1220</v>
      </c>
      <c r="H24" s="91"/>
      <c r="J24" s="74"/>
    </row>
    <row r="25" spans="1:10" ht="24">
      <c r="A25" s="673"/>
      <c r="B25" s="17" t="s">
        <v>38</v>
      </c>
      <c r="C25" s="11" t="s">
        <v>39</v>
      </c>
      <c r="D25" s="227">
        <f>SUMIF(osnova!B:B,$C25&amp;"B",osnova!G:G)</f>
        <v>0</v>
      </c>
      <c r="E25" s="227">
        <f>-SUMIF(osnova!B:B,$C25&amp;"K",osnova!G:G)</f>
        <v>0</v>
      </c>
      <c r="F25" s="227">
        <f t="shared" si="1"/>
        <v>0</v>
      </c>
      <c r="G25" s="227" t="s">
        <v>1220</v>
      </c>
      <c r="H25" s="91"/>
      <c r="J25" s="74"/>
    </row>
    <row r="26" spans="1:10" ht="12.75">
      <c r="A26" s="671" t="s">
        <v>40</v>
      </c>
      <c r="B26" s="15" t="s">
        <v>41</v>
      </c>
      <c r="C26" s="16" t="s">
        <v>42</v>
      </c>
      <c r="D26" s="225">
        <f>SUM(D27:D33)</f>
        <v>0</v>
      </c>
      <c r="E26" s="225">
        <f>SUM(E27:E33)</f>
        <v>0</v>
      </c>
      <c r="F26" s="225">
        <f>SUM(F27:F33)</f>
        <v>0</v>
      </c>
      <c r="G26" s="225" t="s">
        <v>1220</v>
      </c>
      <c r="H26" s="91"/>
    </row>
    <row r="27" spans="1:10" ht="24">
      <c r="A27" s="672"/>
      <c r="B27" s="18" t="s">
        <v>43</v>
      </c>
      <c r="C27" s="11" t="s">
        <v>44</v>
      </c>
      <c r="D27" s="227">
        <f>SUMIF(osnova!B:B,$C27&amp;"B",osnova!G:G)</f>
        <v>0</v>
      </c>
      <c r="E27" s="227">
        <f>-SUMIF(osnova!B:B,$C27&amp;"K",osnova!G:G)</f>
        <v>0</v>
      </c>
      <c r="F27" s="227">
        <f t="shared" ref="F27:F33" si="2">D27-E27</f>
        <v>0</v>
      </c>
      <c r="G27" s="227" t="s">
        <v>1220</v>
      </c>
      <c r="H27" s="91"/>
      <c r="J27" s="74"/>
    </row>
    <row r="28" spans="1:10" ht="24">
      <c r="A28" s="672"/>
      <c r="B28" s="18" t="s">
        <v>45</v>
      </c>
      <c r="C28" s="11" t="s">
        <v>46</v>
      </c>
      <c r="D28" s="227">
        <f>SUMIF(osnova!B:B,$C28&amp;"B",osnova!G:G)</f>
        <v>0</v>
      </c>
      <c r="E28" s="227">
        <f>-SUMIF(osnova!B:B,$C28&amp;"K",osnova!G:G)</f>
        <v>0</v>
      </c>
      <c r="F28" s="227">
        <f t="shared" si="2"/>
        <v>0</v>
      </c>
      <c r="G28" s="227" t="s">
        <v>1220</v>
      </c>
      <c r="H28" s="91"/>
      <c r="J28" s="74"/>
    </row>
    <row r="29" spans="1:10" ht="12.75" customHeight="1">
      <c r="A29" s="672"/>
      <c r="B29" s="18" t="s">
        <v>47</v>
      </c>
      <c r="C29" s="11" t="s">
        <v>48</v>
      </c>
      <c r="D29" s="227">
        <f>SUMIF(osnova!B:B,$C29&amp;"B",osnova!G:G)</f>
        <v>0</v>
      </c>
      <c r="E29" s="227">
        <f>-SUMIF(osnova!B:B,$C29&amp;"K",osnova!G:G)</f>
        <v>0</v>
      </c>
      <c r="F29" s="227">
        <f t="shared" si="2"/>
        <v>0</v>
      </c>
      <c r="G29" s="227" t="s">
        <v>1220</v>
      </c>
      <c r="H29" s="91"/>
      <c r="J29" s="74"/>
    </row>
    <row r="30" spans="1:10" ht="24">
      <c r="A30" s="672"/>
      <c r="B30" s="18" t="s">
        <v>49</v>
      </c>
      <c r="C30" s="11" t="s">
        <v>50</v>
      </c>
      <c r="D30" s="227">
        <f>SUMIF(osnova!B:B,$C30&amp;"B",osnova!G:G)</f>
        <v>0</v>
      </c>
      <c r="E30" s="227">
        <f>-SUMIF(osnova!B:B,$C30&amp;"K",osnova!G:G)</f>
        <v>0</v>
      </c>
      <c r="F30" s="227">
        <f t="shared" si="2"/>
        <v>0</v>
      </c>
      <c r="G30" s="227" t="s">
        <v>1220</v>
      </c>
      <c r="H30" s="91"/>
      <c r="J30" s="74"/>
    </row>
    <row r="31" spans="1:10" ht="12.75">
      <c r="A31" s="672"/>
      <c r="B31" s="18" t="s">
        <v>1739</v>
      </c>
      <c r="C31" s="11" t="s">
        <v>51</v>
      </c>
      <c r="D31" s="227">
        <f>SUMIF(osnova!B:B,$C31&amp;"B",osnova!G:G)</f>
        <v>0</v>
      </c>
      <c r="E31" s="227">
        <f>-SUMIF(osnova!B:B,$C31&amp;"K",osnova!G:G)</f>
        <v>0</v>
      </c>
      <c r="F31" s="227">
        <f t="shared" si="2"/>
        <v>0</v>
      </c>
      <c r="G31" s="227" t="s">
        <v>1220</v>
      </c>
      <c r="H31" s="91"/>
      <c r="J31" s="74"/>
    </row>
    <row r="32" spans="1:10" ht="12.75" customHeight="1">
      <c r="A32" s="672"/>
      <c r="B32" s="18" t="s">
        <v>52</v>
      </c>
      <c r="C32" s="11" t="s">
        <v>53</v>
      </c>
      <c r="D32" s="227">
        <f>SUMIF(osnova!B:B,$C32&amp;"B",osnova!G:G)</f>
        <v>0</v>
      </c>
      <c r="E32" s="227">
        <f>-SUMIF(osnova!B:B,$C32&amp;"K",osnova!G:G)</f>
        <v>0</v>
      </c>
      <c r="F32" s="227">
        <f t="shared" si="2"/>
        <v>0</v>
      </c>
      <c r="G32" s="227" t="s">
        <v>1220</v>
      </c>
      <c r="H32" s="91"/>
      <c r="J32" s="74"/>
    </row>
    <row r="33" spans="1:10" ht="24">
      <c r="A33" s="673"/>
      <c r="B33" s="18" t="s">
        <v>54</v>
      </c>
      <c r="C33" s="11" t="s">
        <v>55</v>
      </c>
      <c r="D33" s="227">
        <f>SUMIF(osnova!B:B,$C33&amp;"B",osnova!G:G)</f>
        <v>0</v>
      </c>
      <c r="E33" s="227">
        <f>-SUMIF(osnova!B:B,$C33&amp;"K",osnova!G:G)</f>
        <v>0</v>
      </c>
      <c r="F33" s="227">
        <f t="shared" si="2"/>
        <v>0</v>
      </c>
      <c r="G33" s="227" t="s">
        <v>1220</v>
      </c>
      <c r="H33" s="91"/>
      <c r="J33" s="74"/>
    </row>
    <row r="34" spans="1:10">
      <c r="A34" s="1" t="s">
        <v>1696</v>
      </c>
      <c r="D34" s="349" t="s">
        <v>891</v>
      </c>
      <c r="E34" s="349">
        <f>'input data'!C20</f>
        <v>37887335</v>
      </c>
      <c r="F34" s="349" t="s">
        <v>900</v>
      </c>
      <c r="H34" s="91"/>
    </row>
    <row r="35" spans="1:10">
      <c r="D35" s="349"/>
      <c r="E35" s="349"/>
      <c r="F35" s="349"/>
      <c r="H35" s="91"/>
    </row>
    <row r="36" spans="1:10" ht="36">
      <c r="A36" s="660" t="s">
        <v>0</v>
      </c>
      <c r="B36" s="661"/>
      <c r="C36" s="674" t="s">
        <v>1</v>
      </c>
      <c r="D36" s="676" t="s">
        <v>56</v>
      </c>
      <c r="E36" s="677"/>
      <c r="F36" s="678"/>
      <c r="G36" s="5" t="s">
        <v>3</v>
      </c>
      <c r="H36" s="91"/>
    </row>
    <row r="37" spans="1:10">
      <c r="A37" s="662"/>
      <c r="B37" s="663"/>
      <c r="C37" s="675"/>
      <c r="D37" s="19" t="s">
        <v>4</v>
      </c>
      <c r="E37" s="5" t="s">
        <v>5</v>
      </c>
      <c r="F37" s="20" t="s">
        <v>6</v>
      </c>
      <c r="G37" s="3" t="s">
        <v>6</v>
      </c>
      <c r="H37" s="91"/>
    </row>
    <row r="38" spans="1:10">
      <c r="A38" s="658" t="s">
        <v>7</v>
      </c>
      <c r="B38" s="659"/>
      <c r="C38" s="3" t="s">
        <v>8</v>
      </c>
      <c r="D38" s="3">
        <v>1</v>
      </c>
      <c r="E38" s="3">
        <v>2</v>
      </c>
      <c r="F38" s="3">
        <v>3</v>
      </c>
      <c r="G38" s="3">
        <v>4</v>
      </c>
      <c r="H38" s="91"/>
    </row>
    <row r="39" spans="1:10" ht="12.75">
      <c r="A39" s="650" t="s">
        <v>57</v>
      </c>
      <c r="B39" s="651"/>
      <c r="C39" s="21" t="s">
        <v>58</v>
      </c>
      <c r="D39" s="225">
        <f>D40+D47+D52+D61</f>
        <v>186605.59999999998</v>
      </c>
      <c r="E39" s="225">
        <f>E40+E47+E52+E61</f>
        <v>5935.04</v>
      </c>
      <c r="F39" s="225">
        <f>F40+F47+F52+F61</f>
        <v>180670.56</v>
      </c>
      <c r="G39" s="225">
        <v>2264502.46</v>
      </c>
      <c r="H39" s="91"/>
    </row>
    <row r="40" spans="1:10" ht="12.75">
      <c r="A40" s="646" t="s">
        <v>11</v>
      </c>
      <c r="B40" s="9" t="s">
        <v>59</v>
      </c>
      <c r="C40" s="22" t="s">
        <v>60</v>
      </c>
      <c r="D40" s="225">
        <f>SUM(D41:D46)</f>
        <v>0</v>
      </c>
      <c r="E40" s="225">
        <f>SUM(E41:E46)</f>
        <v>0</v>
      </c>
      <c r="F40" s="225">
        <f>SUM(F41:F46)</f>
        <v>0</v>
      </c>
      <c r="G40" s="225">
        <v>379238.8</v>
      </c>
      <c r="H40" s="91"/>
    </row>
    <row r="41" spans="1:10" ht="12.75">
      <c r="A41" s="652"/>
      <c r="B41" s="12" t="s">
        <v>61</v>
      </c>
      <c r="C41" s="23" t="s">
        <v>62</v>
      </c>
      <c r="D41" s="227">
        <f>SUMIF(osnova!B:B,$C41&amp;"B",osnova!G:G)</f>
        <v>0</v>
      </c>
      <c r="E41" s="227">
        <f>-SUMIF(osnova!B:B,$C41&amp;"K",osnova!G:G)</f>
        <v>0</v>
      </c>
      <c r="F41" s="227">
        <f t="shared" ref="F41:F46" si="3">D41-E41</f>
        <v>0</v>
      </c>
      <c r="G41" s="227">
        <v>379238.8</v>
      </c>
      <c r="H41" s="91"/>
      <c r="I41" s="79"/>
      <c r="J41" s="74"/>
    </row>
    <row r="42" spans="1:10" ht="24">
      <c r="A42" s="652"/>
      <c r="B42" s="14" t="s">
        <v>63</v>
      </c>
      <c r="C42" s="24" t="s">
        <v>64</v>
      </c>
      <c r="D42" s="227">
        <f>SUMIF(osnova!B:B,$C42&amp;"B",osnova!G:G)</f>
        <v>0</v>
      </c>
      <c r="E42" s="227">
        <f>-SUMIF(osnova!B:B,$C42&amp;"K",osnova!G:G)</f>
        <v>0</v>
      </c>
      <c r="F42" s="227">
        <f t="shared" si="3"/>
        <v>0</v>
      </c>
      <c r="G42" s="227" t="s">
        <v>1220</v>
      </c>
      <c r="H42" s="91"/>
      <c r="I42" s="79"/>
      <c r="J42" s="74"/>
    </row>
    <row r="43" spans="1:10" ht="12.75">
      <c r="A43" s="652"/>
      <c r="B43" s="14" t="s">
        <v>1747</v>
      </c>
      <c r="C43" s="25" t="s">
        <v>65</v>
      </c>
      <c r="D43" s="227">
        <f>SUMIF(osnova!B:B,$C43&amp;"B",osnova!G:G)</f>
        <v>0</v>
      </c>
      <c r="E43" s="227">
        <f>-SUMIF(osnova!B:B,$C43&amp;"K",osnova!G:G)</f>
        <v>0</v>
      </c>
      <c r="F43" s="227">
        <f t="shared" si="3"/>
        <v>0</v>
      </c>
      <c r="G43" s="227" t="s">
        <v>1220</v>
      </c>
      <c r="H43" s="91"/>
      <c r="I43" s="79"/>
      <c r="J43" s="74"/>
    </row>
    <row r="44" spans="1:10" ht="12.75">
      <c r="A44" s="652"/>
      <c r="B44" s="14" t="s">
        <v>66</v>
      </c>
      <c r="C44" s="23" t="s">
        <v>67</v>
      </c>
      <c r="D44" s="227">
        <f>SUMIF(osnova!B:B,$C44&amp;"B",osnova!G:G)</f>
        <v>0</v>
      </c>
      <c r="E44" s="227">
        <f>-SUMIF(osnova!B:B,$C44&amp;"K",osnova!G:G)</f>
        <v>0</v>
      </c>
      <c r="F44" s="227">
        <f t="shared" si="3"/>
        <v>0</v>
      </c>
      <c r="G44" s="227" t="s">
        <v>1220</v>
      </c>
      <c r="H44" s="91"/>
      <c r="I44" s="79"/>
      <c r="J44" s="74"/>
    </row>
    <row r="45" spans="1:10" ht="12.75">
      <c r="A45" s="652"/>
      <c r="B45" s="14" t="s">
        <v>68</v>
      </c>
      <c r="C45" s="24" t="s">
        <v>69</v>
      </c>
      <c r="D45" s="227">
        <f>SUMIF(osnova!B:B,$C45&amp;"B",osnova!G:G)</f>
        <v>0</v>
      </c>
      <c r="E45" s="227">
        <f>-SUMIF(osnova!B:B,$C45&amp;"K",osnova!G:G)</f>
        <v>0</v>
      </c>
      <c r="F45" s="227">
        <f t="shared" si="3"/>
        <v>0</v>
      </c>
      <c r="G45" s="227" t="s">
        <v>1220</v>
      </c>
      <c r="H45" s="91"/>
      <c r="I45" s="79"/>
      <c r="J45" s="74"/>
    </row>
    <row r="46" spans="1:10" ht="24">
      <c r="A46" s="647"/>
      <c r="B46" s="14" t="s">
        <v>70</v>
      </c>
      <c r="C46" s="25" t="s">
        <v>71</v>
      </c>
      <c r="D46" s="227">
        <f>SUMIF(osnova!B:B,$C46&amp;"B",osnova!G:G)</f>
        <v>0</v>
      </c>
      <c r="E46" s="227">
        <f>-SUMIF(osnova!B:B,$C46&amp;"K",osnova!G:G)</f>
        <v>0</v>
      </c>
      <c r="F46" s="227">
        <f t="shared" si="3"/>
        <v>0</v>
      </c>
      <c r="G46" s="227" t="s">
        <v>1220</v>
      </c>
      <c r="H46" s="91"/>
      <c r="I46" s="79"/>
      <c r="J46" s="74"/>
    </row>
    <row r="47" spans="1:10" ht="12.75">
      <c r="A47" s="653" t="s">
        <v>24</v>
      </c>
      <c r="B47" s="15" t="s">
        <v>72</v>
      </c>
      <c r="C47" s="26" t="s">
        <v>73</v>
      </c>
      <c r="D47" s="225">
        <f>SUM(D48:D51)</f>
        <v>0</v>
      </c>
      <c r="E47" s="225">
        <f>SUM(E48:E51)</f>
        <v>0</v>
      </c>
      <c r="F47" s="225">
        <f>SUM(F48:F51)</f>
        <v>0</v>
      </c>
      <c r="G47" s="225" t="s">
        <v>1220</v>
      </c>
      <c r="H47" s="91"/>
    </row>
    <row r="48" spans="1:10" ht="24">
      <c r="A48" s="654"/>
      <c r="B48" s="14" t="s">
        <v>74</v>
      </c>
      <c r="C48" s="24" t="s">
        <v>75</v>
      </c>
      <c r="D48" s="227">
        <f>SUMIF(osnova!B:B,$C48&amp;"B",osnova!G:G)</f>
        <v>0</v>
      </c>
      <c r="E48" s="227">
        <f>-SUMIF(osnova!B:B,$C48&amp;"K",osnova!G:G)</f>
        <v>0</v>
      </c>
      <c r="F48" s="227">
        <f>D48-E48</f>
        <v>0</v>
      </c>
      <c r="G48" s="227" t="s">
        <v>1220</v>
      </c>
      <c r="H48" s="91"/>
      <c r="I48" s="79"/>
      <c r="J48" s="74"/>
    </row>
    <row r="49" spans="1:10" ht="12.75">
      <c r="A49" s="654"/>
      <c r="B49" s="2" t="s">
        <v>1746</v>
      </c>
      <c r="C49" s="25" t="s">
        <v>76</v>
      </c>
      <c r="D49" s="227">
        <f>SUMIF(osnova!B:B,$C49&amp;"B",osnova!G:G)</f>
        <v>0</v>
      </c>
      <c r="E49" s="227">
        <f>-SUMIF(osnova!B:B,$C49&amp;"K",osnova!G:G)</f>
        <v>0</v>
      </c>
      <c r="F49" s="227">
        <f>D49-E49</f>
        <v>0</v>
      </c>
      <c r="G49" s="227" t="s">
        <v>1220</v>
      </c>
      <c r="H49" s="91"/>
      <c r="I49" s="79"/>
      <c r="J49" s="74"/>
    </row>
    <row r="50" spans="1:10" ht="12.75">
      <c r="A50" s="654"/>
      <c r="B50" s="14" t="s">
        <v>77</v>
      </c>
      <c r="C50" s="23" t="s">
        <v>78</v>
      </c>
      <c r="D50" s="227">
        <f>SUMIF(osnova!B:B,$C50&amp;"B",osnova!G:G)</f>
        <v>0</v>
      </c>
      <c r="E50" s="227">
        <f>-SUMIF(osnova!B:B,$C50&amp;"K",osnova!G:G)</f>
        <v>0</v>
      </c>
      <c r="F50" s="227">
        <f>D50-E50</f>
        <v>0</v>
      </c>
      <c r="G50" s="227" t="s">
        <v>1220</v>
      </c>
      <c r="H50" s="91"/>
      <c r="I50" s="79"/>
      <c r="J50" s="74"/>
    </row>
    <row r="51" spans="1:10" ht="24">
      <c r="A51" s="655"/>
      <c r="B51" s="14" t="s">
        <v>79</v>
      </c>
      <c r="C51" s="24" t="s">
        <v>80</v>
      </c>
      <c r="D51" s="227">
        <f>SUMIF(osnova!B:B,$C51&amp;"B",osnova!G:G)</f>
        <v>0</v>
      </c>
      <c r="E51" s="227">
        <f>-SUMIF(osnova!B:B,$C51&amp;"K",osnova!G:G)</f>
        <v>0</v>
      </c>
      <c r="F51" s="227">
        <f>D51-E51</f>
        <v>0</v>
      </c>
      <c r="G51" s="227" t="s">
        <v>1220</v>
      </c>
      <c r="H51" s="91"/>
      <c r="I51" s="79"/>
      <c r="J51" s="74"/>
    </row>
    <row r="52" spans="1:10" ht="12.75">
      <c r="A52" s="646" t="s">
        <v>81</v>
      </c>
      <c r="B52" s="27" t="s">
        <v>82</v>
      </c>
      <c r="C52" s="22" t="s">
        <v>83</v>
      </c>
      <c r="D52" s="225">
        <f>SUM(D53:D60)</f>
        <v>186605.59999999998</v>
      </c>
      <c r="E52" s="225">
        <f>SUM(E53:E60)</f>
        <v>5935.04</v>
      </c>
      <c r="F52" s="225">
        <f>SUM(F53:F60)</f>
        <v>180670.56</v>
      </c>
      <c r="G52" s="225">
        <v>1880560.06</v>
      </c>
      <c r="H52" s="91"/>
    </row>
    <row r="53" spans="1:10" ht="24">
      <c r="A53" s="652"/>
      <c r="B53" s="14" t="s">
        <v>74</v>
      </c>
      <c r="C53" s="23" t="s">
        <v>84</v>
      </c>
      <c r="D53" s="227">
        <f>SUMIF(osnova!B:B,$C53&amp;"B",osnova!G:G)</f>
        <v>24079.440000000002</v>
      </c>
      <c r="E53" s="227">
        <f>-SUMIF(osnova!B:B,$C53&amp;"K",osnova!G:G)</f>
        <v>5935.04</v>
      </c>
      <c r="F53" s="227">
        <f>D53-E53</f>
        <v>18144.400000000001</v>
      </c>
      <c r="G53" s="227">
        <v>1787224.43</v>
      </c>
      <c r="H53" s="91"/>
      <c r="I53" s="79"/>
      <c r="J53" s="74"/>
    </row>
    <row r="54" spans="1:10" ht="12.75">
      <c r="A54" s="652"/>
      <c r="B54" s="14" t="s">
        <v>1745</v>
      </c>
      <c r="C54" s="24" t="s">
        <v>86</v>
      </c>
      <c r="D54" s="227">
        <f>SUMIF(osnova!B:B,$C54&amp;"B",osnova!G:G)</f>
        <v>531.33000000000004</v>
      </c>
      <c r="E54" s="227">
        <f>-SUMIF(osnova!B:B,$C54&amp;"K",osnova!G:G)</f>
        <v>0</v>
      </c>
      <c r="F54" s="227">
        <f>D54-E54</f>
        <v>531.33000000000004</v>
      </c>
      <c r="G54" s="227" t="s">
        <v>1220</v>
      </c>
      <c r="H54" s="91"/>
      <c r="I54" s="79"/>
      <c r="J54" s="74"/>
    </row>
    <row r="55" spans="1:10" ht="24">
      <c r="A55" s="652"/>
      <c r="B55" s="14" t="s">
        <v>87</v>
      </c>
      <c r="C55" s="25" t="s">
        <v>88</v>
      </c>
      <c r="D55" s="227">
        <f>SUMIF(osnova!B:B,$C55&amp;"B",osnova!G:G)</f>
        <v>0</v>
      </c>
      <c r="E55" s="227">
        <f>-SUMIF(osnova!B:B,$C55&amp;"K",osnova!G:G)</f>
        <v>0</v>
      </c>
      <c r="F55" s="227">
        <f>D55</f>
        <v>0</v>
      </c>
      <c r="G55" s="227" t="s">
        <v>1220</v>
      </c>
      <c r="H55" s="91"/>
      <c r="I55" s="79"/>
      <c r="J55" s="74"/>
    </row>
    <row r="56" spans="1:10" ht="12.75">
      <c r="A56" s="652"/>
      <c r="B56" s="14" t="s">
        <v>1748</v>
      </c>
      <c r="C56" s="23" t="s">
        <v>90</v>
      </c>
      <c r="D56" s="227">
        <f>SUMIF(osnova!B:B,$C56&amp;"B",osnova!G:G)</f>
        <v>0</v>
      </c>
      <c r="E56" s="227">
        <f>-SUMIF(osnova!B:B,$C56&amp;"K",osnova!G:G)</f>
        <v>0</v>
      </c>
      <c r="F56" s="227">
        <f>D56</f>
        <v>0</v>
      </c>
      <c r="G56" s="227">
        <v>1307.76</v>
      </c>
      <c r="H56" s="91"/>
      <c r="I56" s="79"/>
      <c r="J56" s="74"/>
    </row>
    <row r="57" spans="1:10" ht="24">
      <c r="A57" s="652"/>
      <c r="B57" s="14" t="s">
        <v>91</v>
      </c>
      <c r="C57" s="24" t="s">
        <v>92</v>
      </c>
      <c r="D57" s="227">
        <f>SUMIF(osnova!B:B,$C57&amp;"B",osnova!G:G)</f>
        <v>0</v>
      </c>
      <c r="E57" s="227">
        <f>-SUMIF(osnova!B:B,$C57&amp;"K",osnova!G:G)</f>
        <v>0</v>
      </c>
      <c r="F57" s="227">
        <f>D57</f>
        <v>0</v>
      </c>
      <c r="G57" s="227">
        <v>1500</v>
      </c>
      <c r="H57" s="91"/>
      <c r="I57" s="79"/>
      <c r="J57" s="74"/>
    </row>
    <row r="58" spans="1:10" ht="12.75" customHeight="1">
      <c r="A58" s="652"/>
      <c r="B58" s="14" t="s">
        <v>1743</v>
      </c>
      <c r="C58" s="25" t="s">
        <v>94</v>
      </c>
      <c r="D58" s="227">
        <f>SUMIF(osnova!B:B,$C58&amp;"B",osnova!G:G)</f>
        <v>0</v>
      </c>
      <c r="E58" s="227">
        <f>-SUMIF(osnova!B:B,$C58&amp;"K",osnova!G:G)</f>
        <v>0</v>
      </c>
      <c r="F58" s="227">
        <f>D58-E58</f>
        <v>0</v>
      </c>
      <c r="G58" s="227" t="s">
        <v>1220</v>
      </c>
      <c r="H58" s="91"/>
      <c r="I58" s="79"/>
      <c r="J58" s="74"/>
    </row>
    <row r="59" spans="1:10" ht="12.75">
      <c r="A59" s="652"/>
      <c r="B59" s="14" t="s">
        <v>95</v>
      </c>
      <c r="C59" s="23" t="s">
        <v>96</v>
      </c>
      <c r="D59" s="227">
        <f>SUMIF(osnova!B:B,$C59&amp;"B",osnova!G:G)</f>
        <v>0</v>
      </c>
      <c r="E59" s="227">
        <f>-SUMIF(osnova!B:B,$C59&amp;"K",osnova!G:G)</f>
        <v>0</v>
      </c>
      <c r="F59" s="227">
        <f>D59-E59</f>
        <v>0</v>
      </c>
      <c r="G59" s="227" t="s">
        <v>1220</v>
      </c>
      <c r="H59" s="91"/>
      <c r="I59" s="79"/>
      <c r="J59" s="74"/>
    </row>
    <row r="60" spans="1:10" ht="24">
      <c r="A60" s="647"/>
      <c r="B60" s="14" t="s">
        <v>97</v>
      </c>
      <c r="C60" s="24" t="s">
        <v>98</v>
      </c>
      <c r="D60" s="227">
        <f>SUMIF(osnova!B:B,$C60&amp;"B",osnova!G:G)</f>
        <v>161994.82999999999</v>
      </c>
      <c r="E60" s="227">
        <f>-SUMIF(osnova!B:B,$C60&amp;"K",osnova!G:G)</f>
        <v>0</v>
      </c>
      <c r="F60" s="227">
        <f>D60-E60</f>
        <v>161994.82999999999</v>
      </c>
      <c r="G60" s="227">
        <v>90527.87</v>
      </c>
      <c r="H60" s="91"/>
      <c r="I60" s="175"/>
      <c r="J60" s="74"/>
    </row>
    <row r="61" spans="1:10" ht="12.75">
      <c r="A61" s="646" t="s">
        <v>99</v>
      </c>
      <c r="B61" s="28" t="s">
        <v>100</v>
      </c>
      <c r="C61" s="22" t="s">
        <v>101</v>
      </c>
      <c r="D61" s="225">
        <f>SUM(D62:D66)</f>
        <v>0</v>
      </c>
      <c r="E61" s="227">
        <f>SUM(E62:E66)</f>
        <v>0</v>
      </c>
      <c r="F61" s="225">
        <f>SUM(F62:F66)</f>
        <v>0</v>
      </c>
      <c r="G61" s="225">
        <v>4703.6000000000004</v>
      </c>
      <c r="H61" s="91"/>
    </row>
    <row r="62" spans="1:10" ht="12.75">
      <c r="A62" s="652"/>
      <c r="B62" s="14" t="s">
        <v>102</v>
      </c>
      <c r="C62" s="23" t="s">
        <v>103</v>
      </c>
      <c r="D62" s="227">
        <f>SUMIF(osnova!B:B,$C62&amp;"B",osnova!G:G)</f>
        <v>0</v>
      </c>
      <c r="E62" s="227">
        <f>-SUMIF(osnova!B:B,$C62&amp;"K",osnova!G:G)</f>
        <v>0</v>
      </c>
      <c r="F62" s="227">
        <f>D62</f>
        <v>0</v>
      </c>
      <c r="G62" s="227">
        <v>2744.06</v>
      </c>
      <c r="H62" s="91"/>
      <c r="I62" s="79"/>
      <c r="J62" s="74"/>
    </row>
    <row r="63" spans="1:10" ht="12.75">
      <c r="A63" s="652"/>
      <c r="B63" s="14" t="s">
        <v>104</v>
      </c>
      <c r="C63" s="24" t="s">
        <v>105</v>
      </c>
      <c r="D63" s="227">
        <f>SUMIF(osnova!B:B,$C63&amp;"B",osnova!G:G)</f>
        <v>0</v>
      </c>
      <c r="E63" s="227">
        <f>-SUMIF(osnova!B:B,$C63&amp;"K",osnova!G:G)</f>
        <v>0</v>
      </c>
      <c r="F63" s="227">
        <f>D63</f>
        <v>0</v>
      </c>
      <c r="G63" s="227">
        <v>1959.54</v>
      </c>
      <c r="H63" s="91"/>
      <c r="I63" s="79"/>
      <c r="J63" s="74"/>
    </row>
    <row r="64" spans="1:10" ht="24">
      <c r="A64" s="652"/>
      <c r="B64" s="29" t="s">
        <v>1744</v>
      </c>
      <c r="C64" s="25" t="s">
        <v>106</v>
      </c>
      <c r="D64" s="227">
        <f>SUMIF(osnova!B:B,$C64&amp;"B",osnova!G:G)</f>
        <v>0</v>
      </c>
      <c r="E64" s="227">
        <f>-SUMIF(osnova!B:B,$C64&amp;"K",osnova!G:G)</f>
        <v>0</v>
      </c>
      <c r="F64" s="227">
        <f>D64</f>
        <v>0</v>
      </c>
      <c r="G64" s="227" t="s">
        <v>1220</v>
      </c>
      <c r="H64" s="91"/>
      <c r="I64" s="79"/>
      <c r="J64" s="74"/>
    </row>
    <row r="65" spans="1:10" ht="24">
      <c r="A65" s="652"/>
      <c r="B65" s="14" t="s">
        <v>107</v>
      </c>
      <c r="C65" s="23" t="s">
        <v>108</v>
      </c>
      <c r="D65" s="227">
        <f>SUMIF(osnova!B:B,$C65&amp;"B",osnova!G:G)</f>
        <v>0</v>
      </c>
      <c r="E65" s="227">
        <f>-SUMIF(osnova!B:B,$C65&amp;"K",osnova!G:G)</f>
        <v>0</v>
      </c>
      <c r="F65" s="227">
        <f>D65-E65</f>
        <v>0</v>
      </c>
      <c r="G65" s="227" t="s">
        <v>1220</v>
      </c>
      <c r="H65" s="91"/>
      <c r="I65" s="79"/>
      <c r="J65" s="74"/>
    </row>
    <row r="66" spans="1:10" ht="12.75">
      <c r="A66" s="647"/>
      <c r="B66" s="30" t="s">
        <v>109</v>
      </c>
      <c r="C66" s="24" t="s">
        <v>110</v>
      </c>
      <c r="D66" s="227">
        <f>SUMIF(osnova!B:B,$C66&amp;"B",osnova!G:G)</f>
        <v>0</v>
      </c>
      <c r="E66" s="227">
        <f>-SUMIF(osnova!B:B,$C66&amp;"K",osnova!G:G)</f>
        <v>0</v>
      </c>
      <c r="F66" s="227">
        <f>D66-E66</f>
        <v>0</v>
      </c>
      <c r="G66" s="227" t="s">
        <v>1220</v>
      </c>
      <c r="H66" s="91"/>
      <c r="I66" s="79"/>
      <c r="J66" s="74"/>
    </row>
    <row r="67" spans="1:10" ht="12.75">
      <c r="A67" s="656" t="s">
        <v>111</v>
      </c>
      <c r="B67" s="657"/>
      <c r="C67" s="22" t="s">
        <v>112</v>
      </c>
      <c r="D67" s="225">
        <f>SUM(D68:D69)</f>
        <v>9.85</v>
      </c>
      <c r="E67" s="225">
        <f>SUM(E68:E69)</f>
        <v>0</v>
      </c>
      <c r="F67" s="225">
        <f>SUM(F68:F69)</f>
        <v>9.85</v>
      </c>
      <c r="G67" s="225">
        <v>5650.88</v>
      </c>
      <c r="H67" s="91"/>
    </row>
    <row r="68" spans="1:10" ht="12.75">
      <c r="A68" s="646" t="s">
        <v>11</v>
      </c>
      <c r="B68" s="30" t="s">
        <v>113</v>
      </c>
      <c r="C68" s="13" t="s">
        <v>114</v>
      </c>
      <c r="D68" s="227">
        <f>SUMIF(osnova!B:B,$C68&amp;"B",osnova!G:G)</f>
        <v>9.85</v>
      </c>
      <c r="E68" s="227">
        <f>-SUMIF(osnova!B:B,$C68&amp;"K",osnova!G:G)</f>
        <v>0</v>
      </c>
      <c r="F68" s="227">
        <f>D68-E68</f>
        <v>9.85</v>
      </c>
      <c r="G68" s="227">
        <v>5647.63</v>
      </c>
      <c r="H68" s="91"/>
      <c r="I68" s="79"/>
      <c r="J68" s="74"/>
    </row>
    <row r="69" spans="1:10" ht="12.75">
      <c r="A69" s="647"/>
      <c r="B69" s="30" t="s">
        <v>115</v>
      </c>
      <c r="C69" s="24" t="s">
        <v>116</v>
      </c>
      <c r="D69" s="227">
        <f>SUMIF(osnova!B:B,$C69&amp;"B",osnova!G:G)</f>
        <v>0</v>
      </c>
      <c r="E69" s="227">
        <f>-SUMIF(osnova!B:B,$C69&amp;"K",osnova!G:G)</f>
        <v>0</v>
      </c>
      <c r="F69" s="227">
        <f>D69-E69</f>
        <v>0</v>
      </c>
      <c r="G69" s="227">
        <v>3.25</v>
      </c>
      <c r="H69" s="91"/>
      <c r="I69" s="79"/>
      <c r="J69" s="74"/>
    </row>
    <row r="70" spans="1:10" ht="12.75">
      <c r="A70" s="648" t="s">
        <v>1742</v>
      </c>
      <c r="B70" s="649"/>
      <c r="C70" s="22" t="s">
        <v>117</v>
      </c>
      <c r="D70" s="225">
        <f>D6+D39+D67</f>
        <v>186615.44999999998</v>
      </c>
      <c r="E70" s="225">
        <f>E6+E39+E67</f>
        <v>5935.04</v>
      </c>
      <c r="F70" s="225">
        <f>F6+F39+F67</f>
        <v>180680.41</v>
      </c>
      <c r="G70" s="225">
        <v>2292208.08</v>
      </c>
      <c r="H70" s="91"/>
    </row>
    <row r="71" spans="1:10">
      <c r="A71" s="1" t="s">
        <v>1696</v>
      </c>
      <c r="B71" s="1"/>
      <c r="C71" s="349" t="s">
        <v>891</v>
      </c>
      <c r="D71" s="349">
        <f>'input data'!C20</f>
        <v>37887335</v>
      </c>
      <c r="E71" s="349" t="s">
        <v>900</v>
      </c>
      <c r="G71" s="31"/>
      <c r="H71" s="91"/>
    </row>
    <row r="72" spans="1:10">
      <c r="B72" s="1"/>
      <c r="C72" s="349"/>
      <c r="D72" s="349"/>
      <c r="E72" s="349"/>
      <c r="G72" s="31"/>
      <c r="H72" s="91"/>
    </row>
    <row r="73" spans="1:10" ht="36">
      <c r="A73" s="637" t="s">
        <v>118</v>
      </c>
      <c r="B73" s="638"/>
      <c r="C73" s="33" t="s">
        <v>1</v>
      </c>
      <c r="D73" s="34" t="s">
        <v>2</v>
      </c>
      <c r="E73" s="35" t="s">
        <v>3</v>
      </c>
      <c r="H73" s="91"/>
    </row>
    <row r="74" spans="1:10">
      <c r="A74" s="639" t="s">
        <v>7</v>
      </c>
      <c r="B74" s="640"/>
      <c r="C74" s="36" t="s">
        <v>8</v>
      </c>
      <c r="D74" s="37">
        <v>5</v>
      </c>
      <c r="E74" s="38">
        <v>6</v>
      </c>
      <c r="H74" s="91"/>
    </row>
    <row r="75" spans="1:10" ht="24.75" customHeight="1">
      <c r="A75" s="641" t="s">
        <v>119</v>
      </c>
      <c r="B75" s="642"/>
      <c r="C75" s="39" t="s">
        <v>120</v>
      </c>
      <c r="D75" s="225">
        <f>D76+D82+D86+D87</f>
        <v>-2922273.7</v>
      </c>
      <c r="E75" s="225">
        <v>-3010243.36</v>
      </c>
      <c r="H75" s="91"/>
    </row>
    <row r="76" spans="1:10" ht="12.75">
      <c r="A76" s="629" t="s">
        <v>11</v>
      </c>
      <c r="B76" s="88" t="s">
        <v>1717</v>
      </c>
      <c r="C76" s="39" t="s">
        <v>121</v>
      </c>
      <c r="D76" s="225">
        <f>SUM(D77:D81)</f>
        <v>13576.08</v>
      </c>
      <c r="E76" s="225">
        <v>13576.08</v>
      </c>
      <c r="H76" s="91"/>
    </row>
    <row r="77" spans="1:10" ht="12.75">
      <c r="A77" s="645"/>
      <c r="B77" s="81" t="s">
        <v>1714</v>
      </c>
      <c r="C77" s="41" t="s">
        <v>122</v>
      </c>
      <c r="D77" s="227">
        <f>-SUMIF(osnova!B:B,$C77,osnova!G:G)</f>
        <v>13576.08</v>
      </c>
      <c r="E77" s="227">
        <v>13576.08</v>
      </c>
      <c r="H77" s="91"/>
    </row>
    <row r="78" spans="1:10" ht="14.25" customHeight="1">
      <c r="A78" s="645"/>
      <c r="B78" s="81" t="s">
        <v>1715</v>
      </c>
      <c r="C78" s="42" t="s">
        <v>123</v>
      </c>
      <c r="D78" s="227">
        <f>-SUMIF(osnova!B:B,$C78,osnova!G:G)</f>
        <v>0</v>
      </c>
      <c r="E78" s="225">
        <v>0</v>
      </c>
      <c r="H78" s="91"/>
    </row>
    <row r="79" spans="1:10" ht="12.75">
      <c r="A79" s="645"/>
      <c r="B79" s="81" t="s">
        <v>124</v>
      </c>
      <c r="C79" s="42" t="s">
        <v>125</v>
      </c>
      <c r="D79" s="227">
        <f>-SUMIF(osnova!B:B,$C79,osnova!G:G)</f>
        <v>0</v>
      </c>
      <c r="E79" s="225">
        <v>0</v>
      </c>
      <c r="H79" s="91"/>
    </row>
    <row r="80" spans="1:10" ht="12.75" customHeight="1">
      <c r="A80" s="645"/>
      <c r="B80" s="83" t="s">
        <v>126</v>
      </c>
      <c r="C80" s="41" t="s">
        <v>127</v>
      </c>
      <c r="D80" s="227">
        <f>-SUMIF(osnova!B:B,$C80,osnova!G:G)</f>
        <v>0</v>
      </c>
      <c r="E80" s="225">
        <v>0</v>
      </c>
      <c r="H80" s="91"/>
    </row>
    <row r="81" spans="1:8" ht="12.75" customHeight="1">
      <c r="A81" s="630"/>
      <c r="B81" s="83" t="s">
        <v>128</v>
      </c>
      <c r="C81" s="42" t="s">
        <v>129</v>
      </c>
      <c r="D81" s="227">
        <f>-SUMIF(osnova!B:B,$C81,osnova!G:G)</f>
        <v>0</v>
      </c>
      <c r="E81" s="225">
        <v>0</v>
      </c>
      <c r="H81" s="91"/>
    </row>
    <row r="82" spans="1:8" ht="12.75">
      <c r="A82" s="629" t="s">
        <v>24</v>
      </c>
      <c r="B82" s="351" t="s">
        <v>1716</v>
      </c>
      <c r="C82" s="39" t="s">
        <v>130</v>
      </c>
      <c r="D82" s="225">
        <f>SUM(D83:D85)</f>
        <v>0</v>
      </c>
      <c r="E82" s="225">
        <v>466.26</v>
      </c>
      <c r="H82" s="91"/>
    </row>
    <row r="83" spans="1:8" ht="12.75">
      <c r="A83" s="645"/>
      <c r="B83" s="81" t="s">
        <v>1736</v>
      </c>
      <c r="C83" s="41" t="s">
        <v>131</v>
      </c>
      <c r="D83" s="227">
        <f>-SUMIF(osnova!B:B,$C83,osnova!G:G)</f>
        <v>0</v>
      </c>
      <c r="E83" s="225">
        <v>0</v>
      </c>
      <c r="H83" s="91"/>
    </row>
    <row r="84" spans="1:8" ht="12.75">
      <c r="A84" s="645"/>
      <c r="B84" s="81" t="s">
        <v>1735</v>
      </c>
      <c r="C84" s="42" t="s">
        <v>132</v>
      </c>
      <c r="D84" s="227">
        <f>-SUMIF(osnova!B:B,$C84,osnova!G:G)</f>
        <v>0</v>
      </c>
      <c r="E84" s="225">
        <v>0</v>
      </c>
      <c r="H84" s="91"/>
    </row>
    <row r="85" spans="1:8" ht="12.75">
      <c r="A85" s="630"/>
      <c r="B85" s="81" t="s">
        <v>1734</v>
      </c>
      <c r="C85" s="42" t="s">
        <v>133</v>
      </c>
      <c r="D85" s="227">
        <f>-SUMIF(osnova!B:B,$C85,osnova!G:G)</f>
        <v>0</v>
      </c>
      <c r="E85" s="227">
        <v>466.26</v>
      </c>
      <c r="H85" s="91"/>
    </row>
    <row r="86" spans="1:8" ht="24">
      <c r="A86" s="43" t="s">
        <v>81</v>
      </c>
      <c r="B86" s="87" t="s">
        <v>134</v>
      </c>
      <c r="C86" s="78" t="s">
        <v>135</v>
      </c>
      <c r="D86" s="227">
        <f>-SUMIF(osnova!B:B,$C86,osnova!G:G)</f>
        <v>-3024285.7</v>
      </c>
      <c r="E86" s="227">
        <v>-3173724.91</v>
      </c>
      <c r="H86" s="91"/>
    </row>
    <row r="87" spans="1:8" ht="24">
      <c r="A87" s="40" t="s">
        <v>99</v>
      </c>
      <c r="B87" s="86" t="s">
        <v>136</v>
      </c>
      <c r="C87" s="39" t="s">
        <v>137</v>
      </c>
      <c r="D87" s="228">
        <f>F70-(D76+D82+D86+D88+D115)</f>
        <v>88435.91999999978</v>
      </c>
      <c r="E87" s="228">
        <v>149439.21</v>
      </c>
      <c r="H87" s="91"/>
    </row>
    <row r="88" spans="1:8" ht="12.75">
      <c r="A88" s="643" t="s">
        <v>138</v>
      </c>
      <c r="B88" s="644"/>
      <c r="C88" s="39" t="s">
        <v>139</v>
      </c>
      <c r="D88" s="225">
        <f>D89+D93+D101+D111</f>
        <v>3102954.1100000003</v>
      </c>
      <c r="E88" s="225">
        <v>5295997.7699999996</v>
      </c>
      <c r="H88" s="91"/>
    </row>
    <row r="89" spans="1:8" ht="12.75">
      <c r="A89" s="629" t="s">
        <v>11</v>
      </c>
      <c r="B89" s="84" t="s">
        <v>1707</v>
      </c>
      <c r="C89" s="44" t="s">
        <v>140</v>
      </c>
      <c r="D89" s="225">
        <f>SUM(D90:D92)</f>
        <v>20260.490000000002</v>
      </c>
      <c r="E89" s="225">
        <v>178273.23</v>
      </c>
      <c r="H89" s="91"/>
    </row>
    <row r="90" spans="1:8" ht="12.75">
      <c r="A90" s="645"/>
      <c r="B90" s="81" t="s">
        <v>1704</v>
      </c>
      <c r="C90" s="76" t="s">
        <v>141</v>
      </c>
      <c r="D90" s="227">
        <f>-SUMIF(osnova!B:B,$C90,osnova!G:G)</f>
        <v>0</v>
      </c>
      <c r="E90" s="225">
        <v>0</v>
      </c>
      <c r="H90" s="91"/>
    </row>
    <row r="91" spans="1:8" ht="12.75">
      <c r="A91" s="645"/>
      <c r="B91" s="81" t="s">
        <v>1705</v>
      </c>
      <c r="C91" s="42" t="s">
        <v>142</v>
      </c>
      <c r="D91" s="227">
        <f>-SUMIF(osnova!B:B,$C91,osnova!G:G)</f>
        <v>0</v>
      </c>
      <c r="E91" s="225">
        <v>0</v>
      </c>
      <c r="H91" s="91"/>
    </row>
    <row r="92" spans="1:8" ht="12.75">
      <c r="A92" s="630"/>
      <c r="B92" s="81" t="s">
        <v>143</v>
      </c>
      <c r="C92" s="77" t="s">
        <v>144</v>
      </c>
      <c r="D92" s="227">
        <f>-SUMIF(osnova!B:B,$C92,osnova!G:G)</f>
        <v>20260.490000000002</v>
      </c>
      <c r="E92" s="227">
        <v>178273.23</v>
      </c>
      <c r="H92" s="91"/>
    </row>
    <row r="93" spans="1:8" ht="12.75">
      <c r="A93" s="631" t="s">
        <v>24</v>
      </c>
      <c r="B93" s="84" t="s">
        <v>1708</v>
      </c>
      <c r="C93" s="39" t="s">
        <v>145</v>
      </c>
      <c r="D93" s="225">
        <f>SUM(D94:D100)</f>
        <v>0</v>
      </c>
      <c r="E93" s="225">
        <v>80527.490000000005</v>
      </c>
      <c r="H93" s="91"/>
    </row>
    <row r="94" spans="1:8" ht="12.75">
      <c r="A94" s="632"/>
      <c r="B94" s="85" t="s">
        <v>1713</v>
      </c>
      <c r="C94" s="42" t="s">
        <v>146</v>
      </c>
      <c r="D94" s="227">
        <f>-SUMIF(osnova!B:B,$C94,osnova!G:G)</f>
        <v>0</v>
      </c>
      <c r="E94" s="225">
        <v>0</v>
      </c>
      <c r="H94" s="91"/>
    </row>
    <row r="95" spans="1:8" ht="12.75">
      <c r="A95" s="632"/>
      <c r="B95" s="85" t="s">
        <v>1712</v>
      </c>
      <c r="C95" s="41" t="s">
        <v>147</v>
      </c>
      <c r="D95" s="227">
        <f>-SUMIF(osnova!B:B,$C95,osnova!G:G)</f>
        <v>0</v>
      </c>
      <c r="E95" s="225">
        <v>0</v>
      </c>
      <c r="H95" s="91"/>
    </row>
    <row r="96" spans="1:8" ht="12.75">
      <c r="A96" s="632"/>
      <c r="B96" s="85" t="s">
        <v>1706</v>
      </c>
      <c r="C96" s="42" t="s">
        <v>148</v>
      </c>
      <c r="D96" s="227">
        <f>-SUMIF(osnova!B:B,$C96,osnova!G:G)</f>
        <v>0</v>
      </c>
      <c r="E96" s="225">
        <v>0</v>
      </c>
      <c r="H96" s="91"/>
    </row>
    <row r="97" spans="1:8" ht="12.75">
      <c r="A97" s="632"/>
      <c r="B97" s="85" t="s">
        <v>149</v>
      </c>
      <c r="C97" s="42" t="s">
        <v>150</v>
      </c>
      <c r="D97" s="227">
        <f>-SUMIF(osnova!B:B,$C97,osnova!G:G)</f>
        <v>0</v>
      </c>
      <c r="E97" s="225">
        <v>0</v>
      </c>
      <c r="H97" s="91"/>
    </row>
    <row r="98" spans="1:8" ht="12.75">
      <c r="A98" s="632"/>
      <c r="B98" s="85" t="s">
        <v>151</v>
      </c>
      <c r="C98" s="77" t="s">
        <v>152</v>
      </c>
      <c r="D98" s="227">
        <f>-SUMIF(osnova!B:B,$C98,osnova!G:G)</f>
        <v>0</v>
      </c>
      <c r="E98" s="225">
        <v>0</v>
      </c>
      <c r="H98" s="91"/>
    </row>
    <row r="99" spans="1:8" ht="12.75">
      <c r="A99" s="632"/>
      <c r="B99" s="83" t="s">
        <v>153</v>
      </c>
      <c r="C99" s="42" t="s">
        <v>154</v>
      </c>
      <c r="D99" s="227">
        <f>-SUMIF(osnova!B:B,$C99,osnova!G:G)</f>
        <v>0</v>
      </c>
      <c r="E99" s="225">
        <v>0</v>
      </c>
      <c r="H99" s="91"/>
    </row>
    <row r="100" spans="1:8" ht="12.75">
      <c r="A100" s="633"/>
      <c r="B100" s="85" t="s">
        <v>155</v>
      </c>
      <c r="C100" s="89" t="s">
        <v>156</v>
      </c>
      <c r="D100" s="227">
        <f>-SUMIF(osnova!B:B,$C100,osnova!G:G)</f>
        <v>0</v>
      </c>
      <c r="E100" s="227">
        <v>80527.490000000005</v>
      </c>
      <c r="H100" s="91"/>
    </row>
    <row r="101" spans="1:8" ht="12.75">
      <c r="A101" s="634" t="s">
        <v>81</v>
      </c>
      <c r="B101" s="82" t="s">
        <v>1709</v>
      </c>
      <c r="C101" s="44" t="s">
        <v>157</v>
      </c>
      <c r="D101" s="225">
        <f>SUM(D102:D110)</f>
        <v>3082693.62</v>
      </c>
      <c r="E101" s="225">
        <f>SUM(E102:E110)</f>
        <v>5037197.05</v>
      </c>
      <c r="H101" s="91"/>
    </row>
    <row r="102" spans="1:8" ht="12.75">
      <c r="A102" s="635"/>
      <c r="B102" s="83" t="s">
        <v>158</v>
      </c>
      <c r="C102" s="42" t="s">
        <v>159</v>
      </c>
      <c r="D102" s="227">
        <f>-SUMIF(osnova!B:B,$C102,osnova!G:G)</f>
        <v>3079931.8</v>
      </c>
      <c r="E102" s="227">
        <v>4522188.83</v>
      </c>
      <c r="H102" s="91"/>
    </row>
    <row r="103" spans="1:8" ht="12.75">
      <c r="A103" s="635"/>
      <c r="B103" s="81" t="s">
        <v>160</v>
      </c>
      <c r="C103" s="42" t="s">
        <v>161</v>
      </c>
      <c r="D103" s="227">
        <f>-SUMIF(osnova!B:B,$C103,osnova!G:G)</f>
        <v>612.41</v>
      </c>
      <c r="E103" s="227">
        <v>292796.96000000002</v>
      </c>
      <c r="H103" s="91"/>
    </row>
    <row r="104" spans="1:8" ht="24">
      <c r="A104" s="635"/>
      <c r="B104" s="81" t="s">
        <v>162</v>
      </c>
      <c r="C104" s="41" t="s">
        <v>163</v>
      </c>
      <c r="D104" s="227">
        <f>-SUMIF(osnova!B:B,$C104,osnova!G:G)</f>
        <v>318.68</v>
      </c>
      <c r="E104" s="227">
        <v>177991.42</v>
      </c>
      <c r="H104" s="91"/>
    </row>
    <row r="105" spans="1:8" ht="12.75">
      <c r="A105" s="635"/>
      <c r="B105" s="83" t="s">
        <v>1711</v>
      </c>
      <c r="C105" s="42" t="s">
        <v>164</v>
      </c>
      <c r="D105" s="227">
        <f>-SUMIF(osnova!B:B,$C105,osnova!G:G)</f>
        <v>0</v>
      </c>
      <c r="E105" s="227">
        <v>32101.54</v>
      </c>
      <c r="H105" s="91"/>
    </row>
    <row r="106" spans="1:8" ht="31.5" customHeight="1">
      <c r="A106" s="635"/>
      <c r="B106" s="83" t="s">
        <v>1718</v>
      </c>
      <c r="C106" s="76" t="s">
        <v>165</v>
      </c>
      <c r="D106" s="227">
        <f>-SUMIF(osnova!B:B,$C106,osnova!G:G)</f>
        <v>0</v>
      </c>
      <c r="E106" s="225">
        <v>0</v>
      </c>
      <c r="H106" s="91"/>
    </row>
    <row r="107" spans="1:8" ht="24">
      <c r="A107" s="635"/>
      <c r="B107" s="83" t="s">
        <v>166</v>
      </c>
      <c r="C107" s="41" t="s">
        <v>167</v>
      </c>
      <c r="D107" s="227">
        <f>-SUMIF(osnova!B:B,$C107,osnova!G:G)</f>
        <v>0</v>
      </c>
      <c r="E107" s="225">
        <v>0</v>
      </c>
      <c r="H107" s="91"/>
    </row>
    <row r="108" spans="1:8" ht="12.75">
      <c r="A108" s="635"/>
      <c r="B108" s="83" t="s">
        <v>1728</v>
      </c>
      <c r="C108" s="42" t="s">
        <v>168</v>
      </c>
      <c r="D108" s="227">
        <f>-SUMIF(osnova!B:B,$C108,osnova!G:G)</f>
        <v>0</v>
      </c>
      <c r="E108" s="225">
        <v>0</v>
      </c>
      <c r="H108" s="91"/>
    </row>
    <row r="109" spans="1:8" ht="12.75">
      <c r="A109" s="635"/>
      <c r="B109" s="83" t="s">
        <v>1729</v>
      </c>
      <c r="C109" s="42" t="s">
        <v>169</v>
      </c>
      <c r="D109" s="227">
        <f>-SUMIF(osnova!B:B,$C109,osnova!G:G)</f>
        <v>0</v>
      </c>
      <c r="E109" s="225">
        <v>0</v>
      </c>
      <c r="H109" s="91"/>
    </row>
    <row r="110" spans="1:8" ht="12.75">
      <c r="A110" s="636"/>
      <c r="B110" s="83" t="s">
        <v>170</v>
      </c>
      <c r="C110" s="41" t="s">
        <v>171</v>
      </c>
      <c r="D110" s="227">
        <f>-SUMIF(osnova!B:B,$C110,osnova!G:G)</f>
        <v>1830.73</v>
      </c>
      <c r="E110" s="227">
        <v>12118.3</v>
      </c>
      <c r="H110" s="91"/>
    </row>
    <row r="111" spans="1:8" ht="12.75">
      <c r="A111" s="631" t="s">
        <v>99</v>
      </c>
      <c r="B111" s="84" t="s">
        <v>1710</v>
      </c>
      <c r="C111" s="39" t="s">
        <v>172</v>
      </c>
      <c r="D111" s="225">
        <f>SUM(D112:D114)</f>
        <v>0</v>
      </c>
      <c r="E111" s="225">
        <v>0</v>
      </c>
      <c r="H111" s="91"/>
    </row>
    <row r="112" spans="1:8" ht="12.75">
      <c r="A112" s="632"/>
      <c r="B112" s="80" t="s">
        <v>173</v>
      </c>
      <c r="C112" s="42" t="s">
        <v>174</v>
      </c>
      <c r="D112" s="227">
        <f>-SUMIF(osnova!B:B,$C112,osnova!G:G)</f>
        <v>0</v>
      </c>
      <c r="E112" s="225">
        <v>0</v>
      </c>
      <c r="H112" s="91"/>
    </row>
    <row r="113" spans="1:8" ht="12.75">
      <c r="A113" s="632"/>
      <c r="B113" s="81" t="s">
        <v>175</v>
      </c>
      <c r="C113" s="41" t="s">
        <v>176</v>
      </c>
      <c r="D113" s="227">
        <f>-SUMIF(osnova!B:B,$C113,osnova!G:G)</f>
        <v>0</v>
      </c>
      <c r="E113" s="225">
        <v>0</v>
      </c>
      <c r="H113" s="91"/>
    </row>
    <row r="114" spans="1:8" ht="12.75">
      <c r="A114" s="633"/>
      <c r="B114" s="81" t="s">
        <v>1730</v>
      </c>
      <c r="C114" s="42" t="s">
        <v>177</v>
      </c>
      <c r="D114" s="227">
        <f>-SUMIF(osnova!B:B,$C114,osnova!G:G)</f>
        <v>0</v>
      </c>
      <c r="E114" s="225">
        <v>0</v>
      </c>
      <c r="H114" s="91"/>
    </row>
    <row r="115" spans="1:8" ht="12.75">
      <c r="A115" s="641" t="s">
        <v>1741</v>
      </c>
      <c r="B115" s="642"/>
      <c r="C115" s="39" t="s">
        <v>178</v>
      </c>
      <c r="D115" s="225">
        <f>SUM(D116:D117)</f>
        <v>0</v>
      </c>
      <c r="E115" s="225">
        <f>SUM(E116:E117)</f>
        <v>6453.67</v>
      </c>
      <c r="H115" s="91"/>
    </row>
    <row r="116" spans="1:8" ht="12.75">
      <c r="A116" s="629" t="s">
        <v>11</v>
      </c>
      <c r="B116" s="80" t="s">
        <v>1731</v>
      </c>
      <c r="C116" s="41" t="s">
        <v>179</v>
      </c>
      <c r="D116" s="227">
        <f>-SUMIF(osnova!B:B,$C116,osnova!G:G)</f>
        <v>0</v>
      </c>
      <c r="E116" s="225">
        <v>0</v>
      </c>
      <c r="H116" s="91"/>
    </row>
    <row r="117" spans="1:8" ht="12.75">
      <c r="A117" s="630"/>
      <c r="B117" s="81" t="s">
        <v>1732</v>
      </c>
      <c r="C117" s="76" t="s">
        <v>180</v>
      </c>
      <c r="D117" s="227">
        <f>-SUMIF(osnova!B:B,$C117,osnova!G:G)</f>
        <v>0</v>
      </c>
      <c r="E117" s="227">
        <v>6453.67</v>
      </c>
      <c r="H117" s="91"/>
    </row>
    <row r="118" spans="1:8" ht="25.5" customHeight="1">
      <c r="A118" s="627" t="s">
        <v>181</v>
      </c>
      <c r="B118" s="628"/>
      <c r="C118" s="39" t="s">
        <v>182</v>
      </c>
      <c r="D118" s="225">
        <f>D75+D88+D115</f>
        <v>180680.41000000015</v>
      </c>
      <c r="E118" s="225">
        <v>2292208.08</v>
      </c>
      <c r="H118" s="91"/>
    </row>
    <row r="119" spans="1:8">
      <c r="C119" s="32"/>
      <c r="D119" s="32"/>
      <c r="E119" s="32"/>
    </row>
    <row r="120" spans="1:8">
      <c r="C120" s="32"/>
      <c r="D120" s="32"/>
      <c r="E120" s="32"/>
    </row>
    <row r="121" spans="1:8">
      <c r="C121" s="32"/>
      <c r="D121" s="32"/>
      <c r="E121" s="32"/>
    </row>
    <row r="122" spans="1:8">
      <c r="C122" s="32"/>
      <c r="D122" s="32"/>
      <c r="E122" s="32"/>
    </row>
    <row r="123" spans="1:8">
      <c r="C123" s="32"/>
      <c r="D123" s="32"/>
      <c r="E123" s="32"/>
    </row>
    <row r="124" spans="1:8">
      <c r="C124" s="32"/>
      <c r="D124" s="32"/>
      <c r="E124" s="32"/>
    </row>
    <row r="125" spans="1:8">
      <c r="C125" s="32"/>
      <c r="D125" s="32"/>
      <c r="E125" s="32"/>
    </row>
    <row r="126" spans="1:8">
      <c r="C126" s="32"/>
      <c r="D126" s="32"/>
      <c r="E126" s="32"/>
    </row>
    <row r="127" spans="1:8">
      <c r="C127" s="32"/>
      <c r="D127" s="32"/>
      <c r="E127" s="32"/>
    </row>
    <row r="128" spans="1:8">
      <c r="C128" s="32"/>
      <c r="D128" s="32"/>
      <c r="E128" s="32"/>
    </row>
    <row r="129" spans="3:5">
      <c r="C129" s="32"/>
      <c r="D129" s="32"/>
      <c r="E129" s="32"/>
    </row>
    <row r="130" spans="3:5">
      <c r="C130" s="32"/>
      <c r="D130" s="32"/>
      <c r="E130" s="32"/>
    </row>
  </sheetData>
  <mergeCells count="32">
    <mergeCell ref="A38:B38"/>
    <mergeCell ref="A3:B4"/>
    <mergeCell ref="D3:F3"/>
    <mergeCell ref="A5:B5"/>
    <mergeCell ref="A6:B6"/>
    <mergeCell ref="A7:A13"/>
    <mergeCell ref="A14:A25"/>
    <mergeCell ref="A26:A33"/>
    <mergeCell ref="A36:B37"/>
    <mergeCell ref="C36:C37"/>
    <mergeCell ref="D36:F36"/>
    <mergeCell ref="A68:A69"/>
    <mergeCell ref="A70:B70"/>
    <mergeCell ref="A39:B39"/>
    <mergeCell ref="A40:A46"/>
    <mergeCell ref="A47:A51"/>
    <mergeCell ref="A52:A60"/>
    <mergeCell ref="A61:A66"/>
    <mergeCell ref="A67:B67"/>
    <mergeCell ref="A118:B118"/>
    <mergeCell ref="A116:A117"/>
    <mergeCell ref="A111:A114"/>
    <mergeCell ref="A101:A110"/>
    <mergeCell ref="A73:B73"/>
    <mergeCell ref="A74:B74"/>
    <mergeCell ref="A75:B75"/>
    <mergeCell ref="A88:B88"/>
    <mergeCell ref="A115:B115"/>
    <mergeCell ref="A93:A100"/>
    <mergeCell ref="A89:A92"/>
    <mergeCell ref="A82:A85"/>
    <mergeCell ref="A76:A81"/>
  </mergeCells>
  <printOptions horizontalCentered="1"/>
  <pageMargins left="0.19685039370078741" right="0.19685039370078741" top="0.70866141732283472" bottom="0.59055118110236227" header="0.51181102362204722" footer="0.51181102362204722"/>
  <pageSetup paperSize="9" scale="76" fitToWidth="6" fitToHeight="6" orientation="portrait" r:id="rId1"/>
  <rowBreaks count="2" manualBreakCount="2">
    <brk id="33" max="6" man="1"/>
    <brk id="7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91"/>
  <sheetViews>
    <sheetView view="pageBreakPreview" zoomScale="80" zoomScaleNormal="90" zoomScaleSheetLayoutView="80" workbookViewId="0">
      <pane ySplit="4" topLeftCell="A71" activePane="bottomLeft" state="frozen"/>
      <selection activeCell="C30" sqref="C30:D30"/>
      <selection pane="bottomLeft" activeCell="K91" sqref="K91"/>
    </sheetView>
  </sheetViews>
  <sheetFormatPr defaultRowHeight="12.75"/>
  <cols>
    <col min="1" max="1" width="5.28515625" style="45" customWidth="1"/>
    <col min="2" max="2" width="32.28515625" style="45" customWidth="1"/>
    <col min="3" max="3" width="6.140625" style="45" customWidth="1"/>
    <col min="4" max="4" width="16.5703125" style="45" customWidth="1"/>
    <col min="5" max="5" width="15.28515625" style="45" customWidth="1"/>
    <col min="6" max="6" width="15.140625" style="45" customWidth="1"/>
    <col min="7" max="7" width="18.42578125" style="45" customWidth="1"/>
    <col min="8" max="10" width="9.140625" style="45"/>
    <col min="11" max="11" width="10.140625" style="45" bestFit="1" customWidth="1"/>
    <col min="12" max="16384" width="9.140625" style="45"/>
  </cols>
  <sheetData>
    <row r="1" spans="1:7">
      <c r="A1" s="45" t="s">
        <v>1697</v>
      </c>
      <c r="D1" s="354" t="s">
        <v>891</v>
      </c>
      <c r="E1" s="355">
        <f>'input data'!C20</f>
        <v>37887335</v>
      </c>
      <c r="F1" s="354" t="s">
        <v>900</v>
      </c>
    </row>
    <row r="2" spans="1:7">
      <c r="D2" s="354"/>
      <c r="E2" s="355"/>
      <c r="F2" s="354"/>
    </row>
    <row r="3" spans="1:7" ht="18" customHeight="1">
      <c r="A3" s="682" t="s">
        <v>307</v>
      </c>
      <c r="B3" s="683" t="s">
        <v>416</v>
      </c>
      <c r="C3" s="682" t="s">
        <v>305</v>
      </c>
      <c r="D3" s="684" t="s">
        <v>304</v>
      </c>
      <c r="E3" s="685"/>
      <c r="F3" s="686"/>
      <c r="G3" s="679" t="s">
        <v>3</v>
      </c>
    </row>
    <row r="4" spans="1:7" ht="23.25" customHeight="1">
      <c r="A4" s="682"/>
      <c r="B4" s="683"/>
      <c r="C4" s="682"/>
      <c r="D4" s="66" t="s">
        <v>303</v>
      </c>
      <c r="E4" s="66" t="s">
        <v>302</v>
      </c>
      <c r="F4" s="66" t="s">
        <v>301</v>
      </c>
      <c r="G4" s="681"/>
    </row>
    <row r="5" spans="1:7" ht="12" customHeight="1">
      <c r="A5" s="71" t="s">
        <v>7</v>
      </c>
      <c r="B5" s="65" t="s">
        <v>8</v>
      </c>
      <c r="C5" s="71" t="s">
        <v>183</v>
      </c>
      <c r="D5" s="72">
        <v>1</v>
      </c>
      <c r="E5" s="73">
        <v>2</v>
      </c>
      <c r="F5" s="73">
        <v>3</v>
      </c>
      <c r="G5" s="73">
        <v>4</v>
      </c>
    </row>
    <row r="6" spans="1:7" ht="16.350000000000001" customHeight="1">
      <c r="A6" s="50" t="s">
        <v>415</v>
      </c>
      <c r="B6" s="53" t="s">
        <v>414</v>
      </c>
      <c r="C6" s="50" t="s">
        <v>413</v>
      </c>
      <c r="D6" s="227">
        <f t="shared" ref="D6:D42" si="0">F6-E6</f>
        <v>1329360.71</v>
      </c>
      <c r="E6" s="227">
        <f>VLOOKUP(A6,VC!A:J,10,0)</f>
        <v>1559.75</v>
      </c>
      <c r="F6" s="227">
        <f>SUMIF(osnova!B:B,A6,osnova!G:G)</f>
        <v>1330920.46</v>
      </c>
      <c r="G6" s="227">
        <v>2753193.3</v>
      </c>
    </row>
    <row r="7" spans="1:7" ht="16.350000000000001" customHeight="1">
      <c r="A7" s="50" t="s">
        <v>412</v>
      </c>
      <c r="B7" s="53" t="s">
        <v>411</v>
      </c>
      <c r="C7" s="50" t="s">
        <v>410</v>
      </c>
      <c r="D7" s="227">
        <f t="shared" si="0"/>
        <v>188186.06000000003</v>
      </c>
      <c r="E7" s="227">
        <f>VLOOKUP(A7,VC!A:J,10,0)</f>
        <v>75610.03</v>
      </c>
      <c r="F7" s="227">
        <f>SUMIF(osnova!B:B,A7,osnova!G:G)</f>
        <v>263796.09000000003</v>
      </c>
      <c r="G7" s="227">
        <v>652040.1</v>
      </c>
    </row>
    <row r="8" spans="1:7" ht="16.350000000000001" customHeight="1">
      <c r="A8" s="50" t="s">
        <v>409</v>
      </c>
      <c r="B8" s="70" t="s">
        <v>408</v>
      </c>
      <c r="C8" s="50" t="s">
        <v>407</v>
      </c>
      <c r="D8" s="227">
        <f t="shared" si="0"/>
        <v>0</v>
      </c>
      <c r="E8" s="227">
        <v>0</v>
      </c>
      <c r="F8" s="227">
        <f>SUMIF(osnova!B:B,A8,osnova!G:G)</f>
        <v>0</v>
      </c>
      <c r="G8" s="227" t="s">
        <v>1220</v>
      </c>
    </row>
    <row r="9" spans="1:7" ht="16.350000000000001" customHeight="1">
      <c r="A9" s="50" t="s">
        <v>406</v>
      </c>
      <c r="B9" s="70" t="s">
        <v>405</v>
      </c>
      <c r="C9" s="50" t="s">
        <v>404</v>
      </c>
      <c r="D9" s="227">
        <f t="shared" si="0"/>
        <v>33813.49</v>
      </c>
      <c r="E9" s="227">
        <f>VLOOKUP(A9,VC!A:J,10,0)</f>
        <v>774.33</v>
      </c>
      <c r="F9" s="227">
        <f>SUMIF(osnova!B:B,A9,osnova!G:G)</f>
        <v>34587.82</v>
      </c>
      <c r="G9" s="227">
        <v>39955.949999999997</v>
      </c>
    </row>
    <row r="10" spans="1:7" ht="16.350000000000001" customHeight="1">
      <c r="A10" s="50" t="s">
        <v>403</v>
      </c>
      <c r="B10" s="53" t="s">
        <v>402</v>
      </c>
      <c r="C10" s="50" t="s">
        <v>401</v>
      </c>
      <c r="D10" s="227">
        <f t="shared" si="0"/>
        <v>1103.74</v>
      </c>
      <c r="E10" s="227">
        <f>VLOOKUP(A10,VC!A:J,10,0)</f>
        <v>23.39</v>
      </c>
      <c r="F10" s="227">
        <f>SUMIF(osnova!B:B,A10,osnova!G:G)</f>
        <v>1127.1300000000001</v>
      </c>
      <c r="G10" s="227">
        <v>8803.57</v>
      </c>
    </row>
    <row r="11" spans="1:7" ht="16.350000000000001" customHeight="1">
      <c r="A11" s="50" t="s">
        <v>400</v>
      </c>
      <c r="B11" s="53" t="s">
        <v>399</v>
      </c>
      <c r="C11" s="50" t="s">
        <v>398</v>
      </c>
      <c r="D11" s="227">
        <f t="shared" si="0"/>
        <v>961.23</v>
      </c>
      <c r="E11" s="227">
        <f>VLOOKUP(A11,VC!A:J,10,0)</f>
        <v>0</v>
      </c>
      <c r="F11" s="227">
        <f>SUMIF(osnova!B:B,A11,osnova!G:G)</f>
        <v>961.23</v>
      </c>
      <c r="G11" s="227">
        <v>2584.09</v>
      </c>
    </row>
    <row r="12" spans="1:7" ht="16.350000000000001" customHeight="1">
      <c r="A12" s="50" t="s">
        <v>397</v>
      </c>
      <c r="B12" s="53" t="s">
        <v>396</v>
      </c>
      <c r="C12" s="50" t="s">
        <v>395</v>
      </c>
      <c r="D12" s="227">
        <f t="shared" si="0"/>
        <v>681548.91</v>
      </c>
      <c r="E12" s="227">
        <f>VLOOKUP(A12,VC!A:J,10,0)</f>
        <v>253470.99</v>
      </c>
      <c r="F12" s="227">
        <f>SUMIF(osnova!B:B,A12,osnova!G:G)</f>
        <v>935019.9</v>
      </c>
      <c r="G12" s="227">
        <v>1757655.93</v>
      </c>
    </row>
    <row r="13" spans="1:7" ht="16.350000000000001" customHeight="1">
      <c r="A13" s="50" t="s">
        <v>394</v>
      </c>
      <c r="B13" s="53" t="s">
        <v>393</v>
      </c>
      <c r="C13" s="50" t="s">
        <v>392</v>
      </c>
      <c r="D13" s="227">
        <f t="shared" si="0"/>
        <v>2288730.3199999998</v>
      </c>
      <c r="E13" s="227">
        <f>VLOOKUP(A13,VC!A:J,10,0)</f>
        <v>10054.18</v>
      </c>
      <c r="F13" s="227">
        <f>SUMIF(osnova!B:B,A13,osnova!G:G)</f>
        <v>2298784.5</v>
      </c>
      <c r="G13" s="227">
        <v>4375942.8899999997</v>
      </c>
    </row>
    <row r="14" spans="1:7" ht="23.25" customHeight="1">
      <c r="A14" s="50" t="s">
        <v>391</v>
      </c>
      <c r="B14" s="53" t="s">
        <v>390</v>
      </c>
      <c r="C14" s="50" t="s">
        <v>389</v>
      </c>
      <c r="D14" s="227">
        <f t="shared" si="0"/>
        <v>780991.17</v>
      </c>
      <c r="E14" s="227">
        <f>VLOOKUP(A14,VC!A:J,10,0)</f>
        <v>3377.94</v>
      </c>
      <c r="F14" s="227">
        <f>SUMIF(osnova!B:B,A14,osnova!G:G)</f>
        <v>784369.11</v>
      </c>
      <c r="G14" s="227">
        <v>1509673.17</v>
      </c>
    </row>
    <row r="15" spans="1:7" ht="16.350000000000001" customHeight="1">
      <c r="A15" s="50" t="s">
        <v>388</v>
      </c>
      <c r="B15" s="53" t="s">
        <v>387</v>
      </c>
      <c r="C15" s="50" t="s">
        <v>386</v>
      </c>
      <c r="D15" s="227">
        <f t="shared" si="0"/>
        <v>1254.67</v>
      </c>
      <c r="E15" s="227">
        <v>0</v>
      </c>
      <c r="F15" s="227">
        <f>SUMIF(osnova!B:B,A15,osnova!G:G)</f>
        <v>1254.67</v>
      </c>
      <c r="G15" s="227">
        <v>2334.1799999999998</v>
      </c>
    </row>
    <row r="16" spans="1:7" ht="16.350000000000001" customHeight="1">
      <c r="A16" s="50" t="s">
        <v>385</v>
      </c>
      <c r="B16" s="53" t="s">
        <v>384</v>
      </c>
      <c r="C16" s="50" t="s">
        <v>383</v>
      </c>
      <c r="D16" s="227">
        <f t="shared" si="0"/>
        <v>62515.57</v>
      </c>
      <c r="E16" s="227">
        <f>VLOOKUP(A16,VC!A:J,10,0)</f>
        <v>466.66</v>
      </c>
      <c r="F16" s="227">
        <f>SUMIF(osnova!B:B,A16,osnova!G:G)</f>
        <v>62982.23</v>
      </c>
      <c r="G16" s="227">
        <v>73271.61</v>
      </c>
    </row>
    <row r="17" spans="1:7" ht="16.350000000000001" customHeight="1">
      <c r="A17" s="50" t="s">
        <v>382</v>
      </c>
      <c r="B17" s="53" t="s">
        <v>381</v>
      </c>
      <c r="C17" s="50" t="s">
        <v>380</v>
      </c>
      <c r="D17" s="227">
        <f t="shared" si="0"/>
        <v>874.04</v>
      </c>
      <c r="E17" s="227">
        <v>0</v>
      </c>
      <c r="F17" s="227">
        <f>SUMIF(osnova!B:B,A17,osnova!G:G)</f>
        <v>874.04</v>
      </c>
      <c r="G17" s="227" t="s">
        <v>1220</v>
      </c>
    </row>
    <row r="18" spans="1:7" ht="16.350000000000001" customHeight="1">
      <c r="A18" s="50" t="s">
        <v>379</v>
      </c>
      <c r="B18" s="53" t="s">
        <v>378</v>
      </c>
      <c r="C18" s="50" t="s">
        <v>377</v>
      </c>
      <c r="D18" s="227">
        <f t="shared" si="0"/>
        <v>0</v>
      </c>
      <c r="E18" s="227">
        <v>0</v>
      </c>
      <c r="F18" s="227">
        <f>SUMIF(osnova!B:B,A18,osnova!G:G)</f>
        <v>0</v>
      </c>
      <c r="G18" s="227" t="s">
        <v>1220</v>
      </c>
    </row>
    <row r="19" spans="1:7" ht="16.350000000000001" customHeight="1">
      <c r="A19" s="50" t="s">
        <v>376</v>
      </c>
      <c r="B19" s="53" t="s">
        <v>375</v>
      </c>
      <c r="C19" s="50" t="s">
        <v>374</v>
      </c>
      <c r="D19" s="227">
        <f t="shared" si="0"/>
        <v>0</v>
      </c>
      <c r="E19" s="227">
        <v>0</v>
      </c>
      <c r="F19" s="227">
        <f>SUMIF(osnova!B:B,A19,osnova!G:G)</f>
        <v>0</v>
      </c>
      <c r="G19" s="227" t="s">
        <v>1220</v>
      </c>
    </row>
    <row r="20" spans="1:7" ht="16.350000000000001" customHeight="1">
      <c r="A20" s="50" t="s">
        <v>373</v>
      </c>
      <c r="B20" s="53" t="s">
        <v>372</v>
      </c>
      <c r="C20" s="50" t="s">
        <v>371</v>
      </c>
      <c r="D20" s="227">
        <f t="shared" si="0"/>
        <v>708.26</v>
      </c>
      <c r="E20" s="227">
        <f>VLOOKUP(A20,VC!A:J,10,0)</f>
        <v>39.630000000000003</v>
      </c>
      <c r="F20" s="227">
        <f>SUMIF(osnova!B:B,A20,osnova!G:G)</f>
        <v>747.89</v>
      </c>
      <c r="G20" s="227">
        <v>1415.22</v>
      </c>
    </row>
    <row r="21" spans="1:7" ht="16.350000000000001" customHeight="1">
      <c r="A21" s="50" t="s">
        <v>370</v>
      </c>
      <c r="B21" s="53" t="s">
        <v>267</v>
      </c>
      <c r="C21" s="50" t="s">
        <v>369</v>
      </c>
      <c r="D21" s="227">
        <f t="shared" si="0"/>
        <v>8416</v>
      </c>
      <c r="E21" s="227">
        <v>0</v>
      </c>
      <c r="F21" s="227">
        <f>SUMIF(osnova!B:B,A21,osnova!G:G)</f>
        <v>8416</v>
      </c>
      <c r="G21" s="227">
        <v>8.6300000000000008</v>
      </c>
    </row>
    <row r="22" spans="1:7" ht="16.350000000000001" customHeight="1">
      <c r="A22" s="50" t="s">
        <v>368</v>
      </c>
      <c r="B22" s="53" t="s">
        <v>264</v>
      </c>
      <c r="C22" s="50" t="s">
        <v>367</v>
      </c>
      <c r="D22" s="227">
        <f t="shared" si="0"/>
        <v>2000</v>
      </c>
      <c r="E22" s="227">
        <v>0</v>
      </c>
      <c r="F22" s="227">
        <f>SUMIF(osnova!B:B,A22,osnova!G:G)</f>
        <v>2000</v>
      </c>
      <c r="G22" s="227">
        <v>1300</v>
      </c>
    </row>
    <row r="23" spans="1:7" ht="16.350000000000001" customHeight="1">
      <c r="A23" s="50" t="s">
        <v>366</v>
      </c>
      <c r="B23" s="53" t="s">
        <v>365</v>
      </c>
      <c r="C23" s="50" t="s">
        <v>364</v>
      </c>
      <c r="D23" s="227">
        <f t="shared" si="0"/>
        <v>0</v>
      </c>
      <c r="E23" s="227">
        <v>0</v>
      </c>
      <c r="F23" s="227">
        <f>SUMIF(osnova!B:B,A23,osnova!G:G)</f>
        <v>0</v>
      </c>
      <c r="G23" s="227" t="s">
        <v>1220</v>
      </c>
    </row>
    <row r="24" spans="1:7" ht="16.350000000000001" customHeight="1">
      <c r="A24" s="50" t="s">
        <v>363</v>
      </c>
      <c r="B24" s="53" t="s">
        <v>258</v>
      </c>
      <c r="C24" s="50" t="s">
        <v>362</v>
      </c>
      <c r="D24" s="227">
        <f t="shared" si="0"/>
        <v>1.2</v>
      </c>
      <c r="E24" s="227">
        <v>0</v>
      </c>
      <c r="F24" s="227">
        <f>SUMIF(osnova!B:B,A24,osnova!G:G)</f>
        <v>1.2</v>
      </c>
      <c r="G24" s="227">
        <v>3.99</v>
      </c>
    </row>
    <row r="25" spans="1:7" ht="16.350000000000001" customHeight="1">
      <c r="A25" s="50" t="s">
        <v>361</v>
      </c>
      <c r="B25" s="53" t="s">
        <v>360</v>
      </c>
      <c r="C25" s="50" t="s">
        <v>359</v>
      </c>
      <c r="D25" s="227">
        <f t="shared" si="0"/>
        <v>8.56</v>
      </c>
      <c r="E25" s="227">
        <v>0</v>
      </c>
      <c r="F25" s="227">
        <f>SUMIF(osnova!B:B,A25,osnova!G:G)</f>
        <v>8.56</v>
      </c>
      <c r="G25" s="227">
        <v>6.83</v>
      </c>
    </row>
    <row r="26" spans="1:7" ht="16.350000000000001" customHeight="1">
      <c r="A26" s="50" t="s">
        <v>358</v>
      </c>
      <c r="B26" s="53" t="s">
        <v>357</v>
      </c>
      <c r="C26" s="50" t="s">
        <v>356</v>
      </c>
      <c r="D26" s="227">
        <f t="shared" si="0"/>
        <v>0</v>
      </c>
      <c r="E26" s="227">
        <v>0</v>
      </c>
      <c r="F26" s="227">
        <f>SUMIF(osnova!B:B,A26,osnova!G:G)</f>
        <v>0</v>
      </c>
      <c r="G26" s="227" t="s">
        <v>1220</v>
      </c>
    </row>
    <row r="27" spans="1:7" ht="16.350000000000001" customHeight="1">
      <c r="A27" s="50" t="s">
        <v>355</v>
      </c>
      <c r="B27" s="53" t="s">
        <v>354</v>
      </c>
      <c r="C27" s="50" t="s">
        <v>353</v>
      </c>
      <c r="D27" s="227">
        <f t="shared" si="0"/>
        <v>0</v>
      </c>
      <c r="E27" s="227">
        <v>0</v>
      </c>
      <c r="F27" s="227">
        <f>SUMIF(osnova!B:B,A27,osnova!G:G)</f>
        <v>0</v>
      </c>
      <c r="G27" s="227" t="s">
        <v>1220</v>
      </c>
    </row>
    <row r="28" spans="1:7" ht="16.350000000000001" customHeight="1">
      <c r="A28" s="50" t="s">
        <v>352</v>
      </c>
      <c r="B28" s="53" t="s">
        <v>351</v>
      </c>
      <c r="C28" s="50" t="s">
        <v>350</v>
      </c>
      <c r="D28" s="227">
        <f t="shared" si="0"/>
        <v>45000</v>
      </c>
      <c r="E28" s="227">
        <v>0</v>
      </c>
      <c r="F28" s="227">
        <f>SUMIF(osnova!B:B,A28,osnova!G:G)</f>
        <v>45000</v>
      </c>
      <c r="G28" s="227">
        <v>-4149.2</v>
      </c>
    </row>
    <row r="29" spans="1:7" ht="16.350000000000001" customHeight="1">
      <c r="A29" s="50" t="s">
        <v>349</v>
      </c>
      <c r="B29" s="53" t="s">
        <v>348</v>
      </c>
      <c r="C29" s="50" t="s">
        <v>347</v>
      </c>
      <c r="D29" s="227">
        <f t="shared" si="0"/>
        <v>13514.78</v>
      </c>
      <c r="E29" s="227">
        <f>VLOOKUP(A29,VC!A:J,10,0)</f>
        <v>256.57</v>
      </c>
      <c r="F29" s="227">
        <f>SUMIF(osnova!B:B,A29,osnova!G:G)</f>
        <v>13771.35</v>
      </c>
      <c r="G29" s="227">
        <v>35158.57</v>
      </c>
    </row>
    <row r="30" spans="1:7" ht="27" customHeight="1">
      <c r="A30" s="50" t="s">
        <v>418</v>
      </c>
      <c r="B30" s="58" t="s">
        <v>346</v>
      </c>
      <c r="C30" s="50" t="s">
        <v>345</v>
      </c>
      <c r="D30" s="227">
        <f t="shared" si="0"/>
        <v>5504.5</v>
      </c>
      <c r="E30" s="227">
        <f>VLOOKUP(A30,VC!A:J,10,0)</f>
        <v>56.36</v>
      </c>
      <c r="F30" s="227">
        <f>SUMIF(osnova!B:B,A30,osnova!G:G)</f>
        <v>5560.86</v>
      </c>
      <c r="G30" s="227">
        <v>11036.58</v>
      </c>
    </row>
    <row r="31" spans="1:7" ht="36" customHeight="1">
      <c r="A31" s="57" t="s">
        <v>344</v>
      </c>
      <c r="B31" s="56" t="s">
        <v>343</v>
      </c>
      <c r="C31" s="50" t="s">
        <v>342</v>
      </c>
      <c r="D31" s="227">
        <f t="shared" si="0"/>
        <v>0</v>
      </c>
      <c r="E31" s="227">
        <f>VLOOKUP(A31,VC!A:J,10,0)</f>
        <v>50126.73</v>
      </c>
      <c r="F31" s="227">
        <f>SUMIF(osnova!B:B,A31,osnova!G:G)</f>
        <v>50126.73</v>
      </c>
      <c r="G31" s="227" t="s">
        <v>1220</v>
      </c>
    </row>
    <row r="32" spans="1:7" ht="16.350000000000001" customHeight="1">
      <c r="A32" s="50" t="s">
        <v>341</v>
      </c>
      <c r="B32" s="53" t="s">
        <v>340</v>
      </c>
      <c r="C32" s="50" t="s">
        <v>339</v>
      </c>
      <c r="D32" s="227">
        <f t="shared" si="0"/>
        <v>0</v>
      </c>
      <c r="E32" s="227">
        <v>0</v>
      </c>
      <c r="F32" s="227">
        <f>SUMIF(osnova!B:B,A32,osnova!G:G)</f>
        <v>0</v>
      </c>
      <c r="G32" s="227" t="s">
        <v>1220</v>
      </c>
    </row>
    <row r="33" spans="1:11" ht="16.350000000000001" customHeight="1">
      <c r="A33" s="50" t="s">
        <v>338</v>
      </c>
      <c r="B33" s="53" t="s">
        <v>337</v>
      </c>
      <c r="C33" s="50" t="s">
        <v>336</v>
      </c>
      <c r="D33" s="227">
        <f t="shared" si="0"/>
        <v>43571.75</v>
      </c>
      <c r="E33" s="227">
        <f>VLOOKUP(A33,VC!A:J,10,0)</f>
        <v>295635.69</v>
      </c>
      <c r="F33" s="227">
        <f>SUMIF(osnova!B:B,A33,osnova!G:G)</f>
        <v>339207.44</v>
      </c>
      <c r="G33" s="227">
        <v>153503.39000000001</v>
      </c>
    </row>
    <row r="34" spans="1:11" ht="16.350000000000001" customHeight="1">
      <c r="A34" s="50" t="s">
        <v>335</v>
      </c>
      <c r="B34" s="53" t="s">
        <v>334</v>
      </c>
      <c r="C34" s="50" t="s">
        <v>333</v>
      </c>
      <c r="D34" s="227">
        <f t="shared" si="0"/>
        <v>0</v>
      </c>
      <c r="E34" s="227">
        <v>0</v>
      </c>
      <c r="F34" s="227">
        <f>SUMIF(osnova!B:B,A34,osnova!G:G)</f>
        <v>0</v>
      </c>
      <c r="G34" s="227" t="s">
        <v>1220</v>
      </c>
    </row>
    <row r="35" spans="1:11" ht="16.350000000000001" customHeight="1">
      <c r="A35" s="50" t="s">
        <v>332</v>
      </c>
      <c r="B35" s="53" t="s">
        <v>331</v>
      </c>
      <c r="C35" s="50" t="s">
        <v>330</v>
      </c>
      <c r="D35" s="227">
        <f t="shared" si="0"/>
        <v>0</v>
      </c>
      <c r="E35" s="227">
        <v>0</v>
      </c>
      <c r="F35" s="227">
        <f>SUMIF(osnova!B:B,A35,osnova!G:G)</f>
        <v>0</v>
      </c>
      <c r="G35" s="227" t="s">
        <v>1220</v>
      </c>
    </row>
    <row r="36" spans="1:11" ht="24" customHeight="1">
      <c r="A36" s="50" t="s">
        <v>329</v>
      </c>
      <c r="B36" s="53" t="s">
        <v>328</v>
      </c>
      <c r="C36" s="50" t="s">
        <v>327</v>
      </c>
      <c r="D36" s="227">
        <f t="shared" si="0"/>
        <v>0</v>
      </c>
      <c r="E36" s="227">
        <v>0</v>
      </c>
      <c r="F36" s="227">
        <f>SUMIF(osnova!B:B,A36,osnova!G:G)</f>
        <v>0</v>
      </c>
      <c r="G36" s="227" t="s">
        <v>1220</v>
      </c>
    </row>
    <row r="37" spans="1:11" ht="16.350000000000001" customHeight="1">
      <c r="A37" s="50" t="s">
        <v>326</v>
      </c>
      <c r="B37" s="53" t="s">
        <v>325</v>
      </c>
      <c r="C37" s="50" t="s">
        <v>324</v>
      </c>
      <c r="D37" s="227">
        <f t="shared" si="0"/>
        <v>0</v>
      </c>
      <c r="E37" s="227">
        <f>VLOOKUP(A37,VC!A:J,10,0)</f>
        <v>-224.15</v>
      </c>
      <c r="F37" s="227">
        <f>SUMIF(osnova!B:B,A37,osnova!G:G)</f>
        <v>-224.15</v>
      </c>
      <c r="G37" s="227">
        <v>18229.28</v>
      </c>
    </row>
    <row r="38" spans="1:11" ht="24" customHeight="1">
      <c r="A38" s="50" t="s">
        <v>323</v>
      </c>
      <c r="B38" s="53" t="s">
        <v>322</v>
      </c>
      <c r="C38" s="50" t="s">
        <v>321</v>
      </c>
      <c r="D38" s="227">
        <f t="shared" si="0"/>
        <v>0</v>
      </c>
      <c r="E38" s="227">
        <v>0</v>
      </c>
      <c r="F38" s="227">
        <f>SUMIF(osnova!B:B,A38,osnova!G:G)</f>
        <v>0</v>
      </c>
      <c r="G38" s="227" t="s">
        <v>1220</v>
      </c>
    </row>
    <row r="39" spans="1:11" ht="22.5" customHeight="1">
      <c r="A39" s="50" t="s">
        <v>320</v>
      </c>
      <c r="B39" s="53" t="s">
        <v>319</v>
      </c>
      <c r="C39" s="50" t="s">
        <v>318</v>
      </c>
      <c r="D39" s="227">
        <f t="shared" si="0"/>
        <v>0</v>
      </c>
      <c r="E39" s="227">
        <v>0</v>
      </c>
      <c r="F39" s="227">
        <f>SUMIF(osnova!B:B,A39,osnova!G:G)</f>
        <v>0</v>
      </c>
      <c r="G39" s="227" t="s">
        <v>1220</v>
      </c>
    </row>
    <row r="40" spans="1:11" ht="18" customHeight="1">
      <c r="A40" s="50" t="s">
        <v>317</v>
      </c>
      <c r="B40" s="53" t="s">
        <v>316</v>
      </c>
      <c r="C40" s="50" t="s">
        <v>315</v>
      </c>
      <c r="D40" s="227">
        <f t="shared" si="0"/>
        <v>0</v>
      </c>
      <c r="E40" s="227">
        <v>0</v>
      </c>
      <c r="F40" s="227">
        <f>SUMIF(osnova!B:B,A40,osnova!G:G)</f>
        <v>0</v>
      </c>
      <c r="G40" s="227" t="s">
        <v>1220</v>
      </c>
    </row>
    <row r="41" spans="1:11" ht="24" customHeight="1">
      <c r="A41" s="50" t="s">
        <v>419</v>
      </c>
      <c r="B41" s="55" t="s">
        <v>314</v>
      </c>
      <c r="C41" s="50" t="s">
        <v>313</v>
      </c>
      <c r="D41" s="227">
        <f t="shared" si="0"/>
        <v>0</v>
      </c>
      <c r="E41" s="227">
        <v>0</v>
      </c>
      <c r="F41" s="227">
        <f>SUMIF(osnova!B:B,A41,osnova!G:G)</f>
        <v>0</v>
      </c>
      <c r="G41" s="227" t="s">
        <v>1220</v>
      </c>
    </row>
    <row r="42" spans="1:11" ht="16.350000000000001" customHeight="1">
      <c r="A42" s="50" t="s">
        <v>312</v>
      </c>
      <c r="B42" s="53" t="s">
        <v>311</v>
      </c>
      <c r="C42" s="50" t="s">
        <v>310</v>
      </c>
      <c r="D42" s="227">
        <f t="shared" si="0"/>
        <v>0</v>
      </c>
      <c r="E42" s="227">
        <v>0</v>
      </c>
      <c r="F42" s="227">
        <f>SUMIF(osnova!B:B,A42,osnova!G:G)</f>
        <v>0</v>
      </c>
      <c r="G42" s="227" t="s">
        <v>1220</v>
      </c>
    </row>
    <row r="43" spans="1:11" s="68" customFormat="1" ht="16.350000000000001" customHeight="1">
      <c r="A43" s="687" t="s">
        <v>309</v>
      </c>
      <c r="B43" s="687"/>
      <c r="C43" s="69" t="s">
        <v>308</v>
      </c>
      <c r="D43" s="225">
        <f>SUM(D6:D42)</f>
        <v>5488064.96</v>
      </c>
      <c r="E43" s="225">
        <f>SUM(E6:E42)</f>
        <v>691228.1</v>
      </c>
      <c r="F43" s="225">
        <f>SUM(F6:F42)</f>
        <v>6179293.0600000005</v>
      </c>
      <c r="G43" s="225">
        <v>11391968.08</v>
      </c>
      <c r="K43" s="75"/>
    </row>
    <row r="44" spans="1:11" s="46" customFormat="1">
      <c r="A44" s="45" t="s">
        <v>1697</v>
      </c>
      <c r="B44" s="67"/>
      <c r="C44" s="49"/>
      <c r="D44" s="354" t="s">
        <v>891</v>
      </c>
      <c r="E44" s="355">
        <f>'input data'!C20</f>
        <v>37887335</v>
      </c>
      <c r="F44" s="354" t="s">
        <v>900</v>
      </c>
      <c r="G44" s="47"/>
    </row>
    <row r="45" spans="1:11" s="46" customFormat="1">
      <c r="A45" s="45"/>
      <c r="B45" s="67"/>
      <c r="C45" s="49"/>
      <c r="D45" s="354"/>
      <c r="E45" s="355"/>
      <c r="F45" s="354"/>
      <c r="G45" s="47"/>
    </row>
    <row r="46" spans="1:11" ht="18.75" customHeight="1">
      <c r="A46" s="688" t="s">
        <v>307</v>
      </c>
      <c r="B46" s="683" t="s">
        <v>306</v>
      </c>
      <c r="C46" s="688" t="s">
        <v>305</v>
      </c>
      <c r="D46" s="689" t="s">
        <v>304</v>
      </c>
      <c r="E46" s="690"/>
      <c r="F46" s="691"/>
      <c r="G46" s="679" t="s">
        <v>3</v>
      </c>
    </row>
    <row r="47" spans="1:11" ht="24.75" customHeight="1">
      <c r="A47" s="688"/>
      <c r="B47" s="683"/>
      <c r="C47" s="688"/>
      <c r="D47" s="66" t="s">
        <v>303</v>
      </c>
      <c r="E47" s="66" t="s">
        <v>302</v>
      </c>
      <c r="F47" s="66" t="s">
        <v>301</v>
      </c>
      <c r="G47" s="680"/>
    </row>
    <row r="48" spans="1:11" ht="11.25" customHeight="1">
      <c r="A48" s="64" t="s">
        <v>7</v>
      </c>
      <c r="B48" s="65" t="s">
        <v>8</v>
      </c>
      <c r="C48" s="64" t="s">
        <v>183</v>
      </c>
      <c r="D48" s="63">
        <v>1</v>
      </c>
      <c r="E48" s="62">
        <v>2</v>
      </c>
      <c r="F48" s="62">
        <v>3</v>
      </c>
      <c r="G48" s="61">
        <v>4</v>
      </c>
    </row>
    <row r="49" spans="1:8" ht="15" customHeight="1">
      <c r="A49" s="50" t="s">
        <v>300</v>
      </c>
      <c r="B49" s="53" t="s">
        <v>299</v>
      </c>
      <c r="C49" s="60" t="s">
        <v>298</v>
      </c>
      <c r="D49" s="227">
        <f t="shared" ref="D49:D83" si="1">F49-E49</f>
        <v>0</v>
      </c>
      <c r="E49" s="227">
        <v>0</v>
      </c>
      <c r="F49" s="227">
        <f>-SUMIF(osnova!B:B,A49,osnova!G:G)</f>
        <v>0</v>
      </c>
      <c r="G49" s="227" t="s">
        <v>1220</v>
      </c>
    </row>
    <row r="50" spans="1:8" ht="15" customHeight="1">
      <c r="A50" s="50" t="s">
        <v>297</v>
      </c>
      <c r="B50" s="53" t="s">
        <v>296</v>
      </c>
      <c r="C50" s="50" t="s">
        <v>295</v>
      </c>
      <c r="D50" s="227">
        <f t="shared" si="1"/>
        <v>5301626.6999999993</v>
      </c>
      <c r="E50" s="227">
        <f>-VLOOKUP(A50,VC!A:J,10,0)</f>
        <v>337051.7</v>
      </c>
      <c r="F50" s="227">
        <f>-SUMIF(osnova!B:B,A50,osnova!G:G)</f>
        <v>5638678.3999999994</v>
      </c>
      <c r="G50" s="227">
        <v>10723847.91</v>
      </c>
    </row>
    <row r="51" spans="1:8" ht="16.5" customHeight="1">
      <c r="A51" s="50" t="s">
        <v>294</v>
      </c>
      <c r="B51" s="53" t="s">
        <v>417</v>
      </c>
      <c r="C51" s="50" t="s">
        <v>293</v>
      </c>
      <c r="D51" s="227">
        <f t="shared" si="1"/>
        <v>0</v>
      </c>
      <c r="E51" s="227"/>
      <c r="F51" s="227">
        <f>-SUMIF(osnova!B:B,A51,osnova!G:G)</f>
        <v>0</v>
      </c>
      <c r="G51" s="227" t="s">
        <v>1220</v>
      </c>
      <c r="H51" s="59"/>
    </row>
    <row r="52" spans="1:8" ht="21" customHeight="1">
      <c r="A52" s="50" t="s">
        <v>292</v>
      </c>
      <c r="B52" s="56" t="s">
        <v>291</v>
      </c>
      <c r="C52" s="50" t="s">
        <v>290</v>
      </c>
      <c r="D52" s="227">
        <f t="shared" si="1"/>
        <v>0</v>
      </c>
      <c r="E52" s="227"/>
      <c r="F52" s="227">
        <f>-SUMIF(osnova!B:B,A52,osnova!G:G)</f>
        <v>0</v>
      </c>
      <c r="G52" s="227" t="s">
        <v>1220</v>
      </c>
      <c r="H52" s="59"/>
    </row>
    <row r="53" spans="1:8" ht="15" customHeight="1">
      <c r="A53" s="50" t="s">
        <v>289</v>
      </c>
      <c r="B53" s="53" t="s">
        <v>288</v>
      </c>
      <c r="C53" s="50" t="s">
        <v>287</v>
      </c>
      <c r="D53" s="227">
        <f t="shared" si="1"/>
        <v>0</v>
      </c>
      <c r="E53" s="227"/>
      <c r="F53" s="227">
        <f>-SUMIF(osnova!B:B,A53,osnova!G:G)</f>
        <v>0</v>
      </c>
      <c r="G53" s="227" t="s">
        <v>1220</v>
      </c>
    </row>
    <row r="54" spans="1:8" ht="15" customHeight="1">
      <c r="A54" s="50" t="s">
        <v>286</v>
      </c>
      <c r="B54" s="53" t="s">
        <v>285</v>
      </c>
      <c r="C54" s="50" t="s">
        <v>284</v>
      </c>
      <c r="D54" s="227">
        <f t="shared" si="1"/>
        <v>0</v>
      </c>
      <c r="E54" s="227"/>
      <c r="F54" s="227">
        <f>-SUMIF(osnova!B:B,A54,osnova!G:G)</f>
        <v>0</v>
      </c>
      <c r="G54" s="227" t="s">
        <v>1220</v>
      </c>
    </row>
    <row r="55" spans="1:8" ht="15" customHeight="1">
      <c r="A55" s="50" t="s">
        <v>283</v>
      </c>
      <c r="B55" s="53" t="s">
        <v>282</v>
      </c>
      <c r="C55" s="50" t="s">
        <v>281</v>
      </c>
      <c r="D55" s="227">
        <f t="shared" si="1"/>
        <v>0</v>
      </c>
      <c r="E55" s="227"/>
      <c r="F55" s="227">
        <f>-SUMIF(osnova!B:B,A55,osnova!G:G)</f>
        <v>0</v>
      </c>
      <c r="G55" s="227" t="s">
        <v>1220</v>
      </c>
    </row>
    <row r="56" spans="1:8" ht="15" customHeight="1">
      <c r="A56" s="50" t="s">
        <v>280</v>
      </c>
      <c r="B56" s="53" t="s">
        <v>279</v>
      </c>
      <c r="C56" s="50" t="s">
        <v>278</v>
      </c>
      <c r="D56" s="227">
        <f t="shared" si="1"/>
        <v>162173.09</v>
      </c>
      <c r="E56" s="227"/>
      <c r="F56" s="227">
        <f>-SUMIF(osnova!B:B,A56,osnova!G:G)</f>
        <v>162173.09</v>
      </c>
      <c r="G56" s="227">
        <v>531424.47</v>
      </c>
    </row>
    <row r="57" spans="1:8" ht="15.75" customHeight="1">
      <c r="A57" s="50" t="s">
        <v>277</v>
      </c>
      <c r="B57" s="53" t="s">
        <v>276</v>
      </c>
      <c r="C57" s="50" t="s">
        <v>275</v>
      </c>
      <c r="D57" s="227">
        <f t="shared" si="1"/>
        <v>0</v>
      </c>
      <c r="E57" s="227"/>
      <c r="F57" s="227">
        <f>-SUMIF(osnova!B:B,A57,osnova!G:G)</f>
        <v>0</v>
      </c>
      <c r="G57" s="227" t="s">
        <v>1220</v>
      </c>
    </row>
    <row r="58" spans="1:8" ht="21.75" customHeight="1">
      <c r="A58" s="50" t="s">
        <v>274</v>
      </c>
      <c r="B58" s="53" t="s">
        <v>273</v>
      </c>
      <c r="C58" s="50" t="s">
        <v>272</v>
      </c>
      <c r="D58" s="227">
        <f t="shared" si="1"/>
        <v>0</v>
      </c>
      <c r="E58" s="227"/>
      <c r="F58" s="227">
        <f>-SUMIF(osnova!B:B,A58,osnova!G:G)</f>
        <v>0</v>
      </c>
      <c r="G58" s="227" t="s">
        <v>1220</v>
      </c>
    </row>
    <row r="59" spans="1:8" ht="24.75" customHeight="1">
      <c r="A59" s="50" t="s">
        <v>271</v>
      </c>
      <c r="B59" s="53" t="s">
        <v>270</v>
      </c>
      <c r="C59" s="50" t="s">
        <v>269</v>
      </c>
      <c r="D59" s="227">
        <f t="shared" si="1"/>
        <v>0</v>
      </c>
      <c r="E59" s="227"/>
      <c r="F59" s="227">
        <f>-SUMIF(osnova!B:B,A59,osnova!G:G)</f>
        <v>0</v>
      </c>
      <c r="G59" s="227" t="s">
        <v>1220</v>
      </c>
    </row>
    <row r="60" spans="1:8" ht="15" customHeight="1">
      <c r="A60" s="50" t="s">
        <v>268</v>
      </c>
      <c r="B60" s="53" t="s">
        <v>267</v>
      </c>
      <c r="C60" s="50" t="s">
        <v>266</v>
      </c>
      <c r="D60" s="227">
        <f t="shared" si="1"/>
        <v>0</v>
      </c>
      <c r="E60" s="227"/>
      <c r="F60" s="227">
        <f>-SUMIF(osnova!B:B,A60,osnova!G:G)</f>
        <v>0</v>
      </c>
      <c r="G60" s="227" t="s">
        <v>1220</v>
      </c>
    </row>
    <row r="61" spans="1:8" ht="15" customHeight="1">
      <c r="A61" s="50" t="s">
        <v>265</v>
      </c>
      <c r="B61" s="53" t="s">
        <v>264</v>
      </c>
      <c r="C61" s="50" t="s">
        <v>263</v>
      </c>
      <c r="D61" s="227">
        <f t="shared" si="1"/>
        <v>0</v>
      </c>
      <c r="E61" s="227"/>
      <c r="F61" s="227">
        <f>-SUMIF(osnova!B:B,A61,osnova!G:G)</f>
        <v>0</v>
      </c>
      <c r="G61" s="227" t="s">
        <v>1220</v>
      </c>
    </row>
    <row r="62" spans="1:8" ht="15" customHeight="1">
      <c r="A62" s="50" t="s">
        <v>262</v>
      </c>
      <c r="B62" s="53" t="s">
        <v>261</v>
      </c>
      <c r="C62" s="50" t="s">
        <v>260</v>
      </c>
      <c r="D62" s="227">
        <f t="shared" si="1"/>
        <v>0</v>
      </c>
      <c r="E62" s="227"/>
      <c r="F62" s="227">
        <f>-SUMIF(osnova!B:B,A62,osnova!G:G)</f>
        <v>0</v>
      </c>
      <c r="G62" s="227" t="s">
        <v>1220</v>
      </c>
    </row>
    <row r="63" spans="1:8" ht="15" customHeight="1">
      <c r="A63" s="50" t="s">
        <v>259</v>
      </c>
      <c r="B63" s="53" t="s">
        <v>258</v>
      </c>
      <c r="C63" s="50" t="s">
        <v>257</v>
      </c>
      <c r="D63" s="227">
        <f t="shared" si="1"/>
        <v>33.619999999999997</v>
      </c>
      <c r="E63" s="227"/>
      <c r="F63" s="227">
        <f>-SUMIF(osnova!B:B,A63,osnova!G:G)</f>
        <v>33.619999999999997</v>
      </c>
      <c r="G63" s="227">
        <v>43.47</v>
      </c>
    </row>
    <row r="64" spans="1:8" ht="15" customHeight="1">
      <c r="A64" s="50" t="s">
        <v>256</v>
      </c>
      <c r="B64" s="53" t="s">
        <v>255</v>
      </c>
      <c r="C64" s="50" t="s">
        <v>254</v>
      </c>
      <c r="D64" s="227">
        <f t="shared" si="1"/>
        <v>0</v>
      </c>
      <c r="E64" s="227"/>
      <c r="F64" s="227">
        <f>-SUMIF(osnova!B:B,A64,osnova!G:G)</f>
        <v>0</v>
      </c>
      <c r="G64" s="227">
        <v>24.5</v>
      </c>
    </row>
    <row r="65" spans="1:7" ht="15" customHeight="1">
      <c r="A65" s="50" t="s">
        <v>253</v>
      </c>
      <c r="B65" s="53" t="s">
        <v>252</v>
      </c>
      <c r="C65" s="50" t="s">
        <v>251</v>
      </c>
      <c r="D65" s="227">
        <f t="shared" si="1"/>
        <v>3080.6100000000006</v>
      </c>
      <c r="E65" s="227">
        <f>-VLOOKUP(A65,VC!A:J,10,0)</f>
        <v>3047.99</v>
      </c>
      <c r="F65" s="227">
        <f>-SUMIF(osnova!B:B,A65,osnova!G:G)</f>
        <v>6128.6</v>
      </c>
      <c r="G65" s="227">
        <v>1256.97</v>
      </c>
    </row>
    <row r="66" spans="1:7" ht="15" customHeight="1">
      <c r="A66" s="50" t="s">
        <v>250</v>
      </c>
      <c r="B66" s="51" t="s">
        <v>249</v>
      </c>
      <c r="C66" s="50" t="s">
        <v>248</v>
      </c>
      <c r="D66" s="227">
        <f t="shared" si="1"/>
        <v>0</v>
      </c>
      <c r="E66" s="227"/>
      <c r="F66" s="227">
        <f>-SUMIF(osnova!B:B,A66,osnova!G:G)</f>
        <v>0</v>
      </c>
      <c r="G66" s="227" t="s">
        <v>1220</v>
      </c>
    </row>
    <row r="67" spans="1:7" ht="15" customHeight="1">
      <c r="A67" s="50" t="s">
        <v>247</v>
      </c>
      <c r="B67" s="55" t="s">
        <v>246</v>
      </c>
      <c r="C67" s="50" t="s">
        <v>245</v>
      </c>
      <c r="D67" s="227">
        <f t="shared" si="1"/>
        <v>0</v>
      </c>
      <c r="E67" s="227"/>
      <c r="F67" s="227">
        <f>-SUMIF(osnova!B:B,A67,osnova!G:G)</f>
        <v>0</v>
      </c>
      <c r="G67" s="227" t="s">
        <v>1220</v>
      </c>
    </row>
    <row r="68" spans="1:7" ht="15" customHeight="1">
      <c r="A68" s="50" t="s">
        <v>244</v>
      </c>
      <c r="B68" s="53" t="s">
        <v>243</v>
      </c>
      <c r="C68" s="50" t="s">
        <v>242</v>
      </c>
      <c r="D68" s="227">
        <f t="shared" si="1"/>
        <v>52172.66</v>
      </c>
      <c r="E68" s="227">
        <f>-VLOOKUP(A68,VC!A:J,10,0)</f>
        <v>71.28</v>
      </c>
      <c r="F68" s="227">
        <f>-SUMIF(osnova!B:B,A68,osnova!G:G)</f>
        <v>52243.94</v>
      </c>
      <c r="G68" s="227">
        <v>133229.01999999999</v>
      </c>
    </row>
    <row r="69" spans="1:7" ht="23.25" customHeight="1">
      <c r="A69" s="50" t="s">
        <v>241</v>
      </c>
      <c r="B69" s="58" t="s">
        <v>240</v>
      </c>
      <c r="C69" s="50" t="s">
        <v>239</v>
      </c>
      <c r="D69" s="227">
        <f t="shared" si="1"/>
        <v>0</v>
      </c>
      <c r="E69" s="227">
        <f>-VLOOKUP(A69,VC!A:J,10,0)</f>
        <v>47078.74</v>
      </c>
      <c r="F69" s="227">
        <f>-SUMIF(osnova!B:B,A69,osnova!G:G)</f>
        <v>47078.74</v>
      </c>
      <c r="G69" s="227" t="s">
        <v>1220</v>
      </c>
    </row>
    <row r="70" spans="1:7" ht="27" customHeight="1">
      <c r="A70" s="50" t="s">
        <v>238</v>
      </c>
      <c r="B70" s="53" t="s">
        <v>237</v>
      </c>
      <c r="C70" s="50" t="s">
        <v>236</v>
      </c>
      <c r="D70" s="227">
        <f t="shared" si="1"/>
        <v>0</v>
      </c>
      <c r="E70" s="227">
        <v>0</v>
      </c>
      <c r="F70" s="227">
        <f>-SUMIF(osnova!B:B,A70,osnova!G:G)</f>
        <v>0</v>
      </c>
      <c r="G70" s="227" t="s">
        <v>1220</v>
      </c>
    </row>
    <row r="71" spans="1:7" ht="25.5" customHeight="1">
      <c r="A71" s="50" t="s">
        <v>235</v>
      </c>
      <c r="B71" s="53" t="s">
        <v>234</v>
      </c>
      <c r="C71" s="50" t="s">
        <v>233</v>
      </c>
      <c r="D71" s="227">
        <f t="shared" si="1"/>
        <v>0</v>
      </c>
      <c r="E71" s="227">
        <v>0</v>
      </c>
      <c r="F71" s="227">
        <f>-SUMIF(osnova!B:B,A71,osnova!G:G)</f>
        <v>0</v>
      </c>
      <c r="G71" s="227" t="s">
        <v>1220</v>
      </c>
    </row>
    <row r="72" spans="1:7" ht="15" customHeight="1">
      <c r="A72" s="50" t="s">
        <v>232</v>
      </c>
      <c r="B72" s="53" t="s">
        <v>231</v>
      </c>
      <c r="C72" s="50" t="s">
        <v>230</v>
      </c>
      <c r="D72" s="227">
        <f t="shared" si="1"/>
        <v>53008.349999999977</v>
      </c>
      <c r="E72" s="227">
        <f>-VLOOKUP(A72,VC!A:J,10,0)</f>
        <v>295635.69</v>
      </c>
      <c r="F72" s="227">
        <f>-SUMIF(osnova!B:B,A72,osnova!G:G)</f>
        <v>348644.04</v>
      </c>
      <c r="G72" s="227">
        <v>123323.05</v>
      </c>
    </row>
    <row r="73" spans="1:7" ht="23.25" customHeight="1">
      <c r="A73" s="50" t="s">
        <v>229</v>
      </c>
      <c r="B73" s="53" t="s">
        <v>228</v>
      </c>
      <c r="C73" s="50" t="s">
        <v>227</v>
      </c>
      <c r="D73" s="227">
        <f t="shared" si="1"/>
        <v>0</v>
      </c>
      <c r="E73" s="227">
        <v>0</v>
      </c>
      <c r="F73" s="227">
        <f>-SUMIF(osnova!B:B,A73,osnova!G:G)</f>
        <v>0</v>
      </c>
      <c r="G73" s="227" t="s">
        <v>1220</v>
      </c>
    </row>
    <row r="74" spans="1:7" ht="15" customHeight="1">
      <c r="A74" s="50" t="s">
        <v>226</v>
      </c>
      <c r="B74" s="53" t="s">
        <v>225</v>
      </c>
      <c r="C74" s="50" t="s">
        <v>224</v>
      </c>
      <c r="D74" s="227">
        <f t="shared" si="1"/>
        <v>11141.26</v>
      </c>
      <c r="E74" s="227">
        <v>0</v>
      </c>
      <c r="F74" s="227">
        <f>-SUMIF(osnova!B:B,A74,osnova!G:G)</f>
        <v>11141.26</v>
      </c>
      <c r="G74" s="227">
        <v>34449.08</v>
      </c>
    </row>
    <row r="75" spans="1:7" ht="15" customHeight="1">
      <c r="A75" s="50" t="s">
        <v>223</v>
      </c>
      <c r="B75" s="53" t="s">
        <v>222</v>
      </c>
      <c r="C75" s="50" t="s">
        <v>221</v>
      </c>
      <c r="D75" s="227">
        <f t="shared" si="1"/>
        <v>0</v>
      </c>
      <c r="E75" s="227">
        <v>0</v>
      </c>
      <c r="F75" s="227">
        <f>-SUMIF(osnova!B:B,A75,osnova!G:G)</f>
        <v>0</v>
      </c>
      <c r="G75" s="227" t="s">
        <v>1220</v>
      </c>
    </row>
    <row r="76" spans="1:7" ht="15" customHeight="1">
      <c r="A76" s="50" t="s">
        <v>220</v>
      </c>
      <c r="B76" s="53" t="s">
        <v>219</v>
      </c>
      <c r="C76" s="50" t="s">
        <v>218</v>
      </c>
      <c r="D76" s="227">
        <f t="shared" si="1"/>
        <v>0</v>
      </c>
      <c r="E76" s="227">
        <v>0</v>
      </c>
      <c r="F76" s="227">
        <f>-SUMIF(osnova!B:B,A76,osnova!G:G)</f>
        <v>0</v>
      </c>
      <c r="G76" s="227" t="s">
        <v>1220</v>
      </c>
    </row>
    <row r="77" spans="1:7" ht="22.5" customHeight="1">
      <c r="A77" s="50" t="s">
        <v>217</v>
      </c>
      <c r="B77" s="53" t="s">
        <v>216</v>
      </c>
      <c r="C77" s="50" t="s">
        <v>215</v>
      </c>
      <c r="D77" s="227">
        <f t="shared" si="1"/>
        <v>0</v>
      </c>
      <c r="E77" s="227">
        <v>0</v>
      </c>
      <c r="F77" s="227">
        <f>-SUMIF(osnova!B:B,A77,osnova!G:G)</f>
        <v>0</v>
      </c>
      <c r="G77" s="227" t="s">
        <v>1220</v>
      </c>
    </row>
    <row r="78" spans="1:7" ht="15" customHeight="1">
      <c r="A78" s="57" t="s">
        <v>214</v>
      </c>
      <c r="B78" s="56" t="s">
        <v>213</v>
      </c>
      <c r="C78" s="50" t="s">
        <v>212</v>
      </c>
      <c r="D78" s="227">
        <f t="shared" si="1"/>
        <v>0</v>
      </c>
      <c r="E78" s="227">
        <v>0</v>
      </c>
      <c r="F78" s="227">
        <f>-SUMIF(osnova!B:B,A78,osnova!G:G)</f>
        <v>0</v>
      </c>
      <c r="G78" s="227" t="s">
        <v>1220</v>
      </c>
    </row>
    <row r="79" spans="1:7" ht="15" customHeight="1">
      <c r="A79" s="50" t="s">
        <v>211</v>
      </c>
      <c r="B79" s="53" t="s">
        <v>210</v>
      </c>
      <c r="C79" s="50" t="s">
        <v>209</v>
      </c>
      <c r="D79" s="227">
        <f t="shared" si="1"/>
        <v>0</v>
      </c>
      <c r="E79" s="227">
        <v>0</v>
      </c>
      <c r="F79" s="227">
        <f>-SUMIF(osnova!B:B,A79,osnova!G:G)</f>
        <v>0</v>
      </c>
      <c r="G79" s="227" t="s">
        <v>1220</v>
      </c>
    </row>
    <row r="80" spans="1:7" ht="15" customHeight="1">
      <c r="A80" s="50" t="s">
        <v>208</v>
      </c>
      <c r="B80" s="53" t="s">
        <v>207</v>
      </c>
      <c r="C80" s="50" t="s">
        <v>206</v>
      </c>
      <c r="D80" s="227">
        <f t="shared" si="1"/>
        <v>0</v>
      </c>
      <c r="E80" s="227">
        <v>0</v>
      </c>
      <c r="F80" s="227">
        <f>-SUMIF(osnova!B:B,A80,osnova!G:G)</f>
        <v>0</v>
      </c>
      <c r="G80" s="227" t="s">
        <v>1220</v>
      </c>
    </row>
    <row r="81" spans="1:7" ht="15" customHeight="1">
      <c r="A81" s="50" t="s">
        <v>205</v>
      </c>
      <c r="B81" s="53" t="s">
        <v>204</v>
      </c>
      <c r="C81" s="50" t="s">
        <v>203</v>
      </c>
      <c r="D81" s="227">
        <f t="shared" si="1"/>
        <v>1607.29</v>
      </c>
      <c r="E81" s="227">
        <v>0</v>
      </c>
      <c r="F81" s="227">
        <f>-SUMIF(osnova!B:B,A81,osnova!G:G)</f>
        <v>1607.29</v>
      </c>
      <c r="G81" s="227">
        <v>1028.42</v>
      </c>
    </row>
    <row r="82" spans="1:7" ht="15" customHeight="1">
      <c r="A82" s="50" t="s">
        <v>420</v>
      </c>
      <c r="B82" s="55" t="s">
        <v>202</v>
      </c>
      <c r="C82" s="50" t="s">
        <v>201</v>
      </c>
      <c r="D82" s="227">
        <f t="shared" si="1"/>
        <v>0</v>
      </c>
      <c r="E82" s="227">
        <v>0</v>
      </c>
      <c r="F82" s="227">
        <f>-SUMIF(osnova!B:B,A82,osnova!G:G)</f>
        <v>0</v>
      </c>
      <c r="G82" s="227" t="s">
        <v>1220</v>
      </c>
    </row>
    <row r="83" spans="1:7" ht="15" customHeight="1">
      <c r="A83" s="50" t="s">
        <v>200</v>
      </c>
      <c r="B83" s="53" t="s">
        <v>199</v>
      </c>
      <c r="C83" s="50" t="s">
        <v>198</v>
      </c>
      <c r="D83" s="227">
        <f t="shared" si="1"/>
        <v>0</v>
      </c>
      <c r="E83" s="227">
        <v>0</v>
      </c>
      <c r="F83" s="227">
        <f>-SUMIF(osnova!B:B,A83,osnova!G:G)</f>
        <v>0</v>
      </c>
      <c r="G83" s="227">
        <v>-7216.01</v>
      </c>
    </row>
    <row r="84" spans="1:7" ht="15" customHeight="1">
      <c r="A84" s="692" t="s">
        <v>197</v>
      </c>
      <c r="B84" s="693"/>
      <c r="C84" s="54" t="s">
        <v>196</v>
      </c>
      <c r="D84" s="229">
        <f>SUM(D49:D83)</f>
        <v>5584843.5799999991</v>
      </c>
      <c r="E84" s="229">
        <f>SUM(E49:E83)</f>
        <v>682885.4</v>
      </c>
      <c r="F84" s="225">
        <f>SUM(F49:F83)</f>
        <v>6267728.9799999995</v>
      </c>
      <c r="G84" s="225">
        <v>11541410.880000001</v>
      </c>
    </row>
    <row r="85" spans="1:7" ht="12.75" customHeight="1">
      <c r="A85" s="694" t="s">
        <v>195</v>
      </c>
      <c r="B85" s="694"/>
      <c r="C85" s="695" t="s">
        <v>194</v>
      </c>
      <c r="D85" s="230"/>
      <c r="E85" s="231"/>
      <c r="F85" s="232"/>
      <c r="G85" s="231"/>
    </row>
    <row r="86" spans="1:7" ht="12" customHeight="1">
      <c r="A86" s="696" t="s">
        <v>193</v>
      </c>
      <c r="B86" s="696"/>
      <c r="C86" s="695"/>
      <c r="D86" s="233">
        <f>D84-D43</f>
        <v>96778.61999999918</v>
      </c>
      <c r="E86" s="233">
        <f>E84-E43</f>
        <v>-8342.6999999999534</v>
      </c>
      <c r="F86" s="233">
        <f>F84-F43</f>
        <v>88435.919999998994</v>
      </c>
      <c r="G86" s="233">
        <v>149442.79999999999</v>
      </c>
    </row>
    <row r="87" spans="1:7" ht="15" customHeight="1">
      <c r="A87" s="50" t="s">
        <v>192</v>
      </c>
      <c r="B87" s="53" t="s">
        <v>191</v>
      </c>
      <c r="C87" s="50" t="s">
        <v>190</v>
      </c>
      <c r="D87" s="227">
        <f>F87-E87</f>
        <v>0</v>
      </c>
      <c r="E87" s="292">
        <f>+'HK 2014'!L269</f>
        <v>0</v>
      </c>
      <c r="F87" s="227">
        <f>SUMIF(osnova!B:B,A87,osnova!G:G)</f>
        <v>0</v>
      </c>
      <c r="G87" s="227">
        <v>3.59</v>
      </c>
    </row>
    <row r="88" spans="1:7" ht="15" customHeight="1">
      <c r="A88" s="52" t="s">
        <v>189</v>
      </c>
      <c r="B88" s="51" t="s">
        <v>188</v>
      </c>
      <c r="C88" s="50" t="s">
        <v>187</v>
      </c>
      <c r="D88" s="227">
        <f>F88-E88</f>
        <v>0</v>
      </c>
      <c r="E88" s="227">
        <v>0</v>
      </c>
      <c r="F88" s="227">
        <f>SUMIF(osnova!B:B,A88,osnova!G:G)</f>
        <v>0</v>
      </c>
      <c r="G88" s="227" t="s">
        <v>1220</v>
      </c>
    </row>
    <row r="89" spans="1:7" ht="12.75" customHeight="1">
      <c r="A89" s="697" t="s">
        <v>186</v>
      </c>
      <c r="B89" s="697"/>
      <c r="C89" s="688" t="s">
        <v>185</v>
      </c>
      <c r="D89" s="234"/>
      <c r="E89" s="235"/>
      <c r="F89" s="235"/>
      <c r="G89" s="236"/>
    </row>
    <row r="90" spans="1:7" ht="12" customHeight="1">
      <c r="A90" s="696" t="s">
        <v>184</v>
      </c>
      <c r="B90" s="696"/>
      <c r="C90" s="688"/>
      <c r="D90" s="233">
        <f>D86-(D87+D88)</f>
        <v>96778.61999999918</v>
      </c>
      <c r="E90" s="233">
        <f>E86-(E87+E88)</f>
        <v>-8342.6999999999534</v>
      </c>
      <c r="F90" s="233">
        <f>F86-(F87+F88)</f>
        <v>88435.919999998994</v>
      </c>
      <c r="G90" s="233">
        <v>149439.21</v>
      </c>
    </row>
    <row r="91" spans="1:7" ht="11.25" customHeight="1">
      <c r="D91" s="48"/>
      <c r="E91" s="48"/>
      <c r="F91" s="48"/>
      <c r="G91" s="47"/>
    </row>
  </sheetData>
  <mergeCells count="18">
    <mergeCell ref="A84:B84"/>
    <mergeCell ref="A85:B85"/>
    <mergeCell ref="C85:C86"/>
    <mergeCell ref="A86:B86"/>
    <mergeCell ref="A89:B89"/>
    <mergeCell ref="C89:C90"/>
    <mergeCell ref="A90:B90"/>
    <mergeCell ref="G46:G47"/>
    <mergeCell ref="G3:G4"/>
    <mergeCell ref="A3:A4"/>
    <mergeCell ref="B3:B4"/>
    <mergeCell ref="C3:C4"/>
    <mergeCell ref="D3:F3"/>
    <mergeCell ref="A43:B43"/>
    <mergeCell ref="A46:A47"/>
    <mergeCell ref="B46:B47"/>
    <mergeCell ref="C46:C47"/>
    <mergeCell ref="D46:F46"/>
  </mergeCells>
  <printOptions horizontalCentered="1" verticalCentered="1"/>
  <pageMargins left="0.31496062992125984" right="0.39370078740157483" top="0.23622047244094491" bottom="0.19685039370078741" header="0.27559055118110237" footer="0.31496062992125984"/>
  <pageSetup paperSize="9" scale="85" fitToWidth="2" fitToHeight="2" orientation="portrait" r:id="rId1"/>
  <rowBreaks count="1" manualBreakCount="1">
    <brk id="4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08"/>
  <sheetViews>
    <sheetView topLeftCell="C1" zoomScale="80" zoomScaleNormal="80" workbookViewId="0">
      <pane ySplit="1" topLeftCell="A304" activePane="bottomLeft" state="frozen"/>
      <selection activeCell="E1" sqref="E1"/>
      <selection pane="bottomLeft" activeCell="S1" sqref="S1:T1"/>
    </sheetView>
  </sheetViews>
  <sheetFormatPr defaultRowHeight="15"/>
  <cols>
    <col min="1" max="1" width="2.5703125" style="101" customWidth="1"/>
    <col min="2" max="2" width="6.28515625" style="146" customWidth="1"/>
    <col min="3" max="3" width="5" style="156" customWidth="1"/>
    <col min="4" max="4" width="69.85546875" style="148" customWidth="1"/>
    <col min="5" max="5" width="11.42578125" style="149" customWidth="1"/>
    <col min="6" max="6" width="12" style="149" customWidth="1"/>
    <col min="7" max="7" width="10.140625" style="149" customWidth="1"/>
    <col min="8" max="8" width="5.28515625" style="106" customWidth="1"/>
    <col min="9" max="9" width="8.85546875" style="101" customWidth="1"/>
    <col min="10" max="10" width="9.140625" style="106"/>
    <col min="11" max="11" width="6.7109375" style="106" customWidth="1"/>
    <col min="12" max="12" width="4.85546875" style="106" customWidth="1"/>
    <col min="13" max="13" width="11" style="106" customWidth="1"/>
    <col min="14" max="14" width="6.7109375" style="106" customWidth="1"/>
    <col min="15" max="15" width="9.140625" style="106"/>
    <col min="16" max="16" width="21" style="154" customWidth="1"/>
    <col min="17" max="17" width="18.7109375" style="106" customWidth="1"/>
    <col min="18" max="18" width="20.5703125" style="106" customWidth="1"/>
    <col min="19" max="19" width="15.42578125" style="106" customWidth="1"/>
    <col min="20" max="20" width="15.28515625" style="106" customWidth="1"/>
    <col min="21" max="16384" width="9.140625" style="106"/>
  </cols>
  <sheetData>
    <row r="1" spans="1:20" s="98" customFormat="1" ht="30" customHeight="1">
      <c r="A1" s="92"/>
      <c r="B1" s="93" t="s">
        <v>421</v>
      </c>
      <c r="C1" s="94" t="s">
        <v>877</v>
      </c>
      <c r="D1" s="95" t="s">
        <v>878</v>
      </c>
      <c r="E1" s="96" t="str">
        <f>"HK "&amp;'input data'!C3</f>
        <v>HK 2014</v>
      </c>
      <c r="F1" s="96" t="s">
        <v>756</v>
      </c>
      <c r="G1" s="97" t="str">
        <f>"HK "&amp;'input data'!C3&amp;" upr."</f>
        <v>HK 2014 upr.</v>
      </c>
      <c r="I1" s="99" t="s">
        <v>855</v>
      </c>
      <c r="K1" s="100" t="s">
        <v>876</v>
      </c>
      <c r="L1" s="157">
        <f>súvaha_vykaz!F70-súvaha_vykaz!D118</f>
        <v>0</v>
      </c>
      <c r="M1" s="100" t="s">
        <v>879</v>
      </c>
      <c r="N1" s="157">
        <f>VZaS_vykaz!F90-súvaha_vykaz!D87</f>
        <v>-7.8580342233181E-10</v>
      </c>
      <c r="P1" s="512" t="s">
        <v>2540</v>
      </c>
      <c r="Q1" s="487" t="s">
        <v>2675</v>
      </c>
      <c r="R1" s="542" t="s">
        <v>2677</v>
      </c>
      <c r="S1" s="597" t="s">
        <v>3078</v>
      </c>
      <c r="T1" s="596" t="s">
        <v>3079</v>
      </c>
    </row>
    <row r="2" spans="1:20">
      <c r="B2" s="102">
        <v>0</v>
      </c>
      <c r="C2" s="103"/>
      <c r="D2" s="104"/>
      <c r="E2" s="105"/>
      <c r="F2" s="105"/>
      <c r="G2" s="105"/>
    </row>
    <row r="3" spans="1:20">
      <c r="B3" s="102">
        <v>0</v>
      </c>
      <c r="C3" s="107" t="s">
        <v>494</v>
      </c>
      <c r="D3" s="108" t="s">
        <v>495</v>
      </c>
      <c r="E3" s="105"/>
      <c r="F3" s="105"/>
      <c r="G3" s="105"/>
    </row>
    <row r="4" spans="1:20">
      <c r="B4" s="102">
        <v>0</v>
      </c>
      <c r="C4" s="107"/>
      <c r="D4" s="108"/>
      <c r="E4" s="105"/>
      <c r="F4" s="105"/>
      <c r="G4" s="105"/>
    </row>
    <row r="5" spans="1:20">
      <c r="B5" s="102">
        <v>0</v>
      </c>
      <c r="C5" s="109" t="s">
        <v>496</v>
      </c>
      <c r="D5" s="108" t="s">
        <v>497</v>
      </c>
      <c r="E5" s="105"/>
      <c r="F5" s="105"/>
      <c r="G5" s="105"/>
    </row>
    <row r="6" spans="1:20">
      <c r="B6" s="110" t="s">
        <v>430</v>
      </c>
      <c r="C6" s="111">
        <v>12</v>
      </c>
      <c r="D6" s="112" t="s">
        <v>498</v>
      </c>
      <c r="E6" s="105">
        <f>ROUND(SUMIF('zdroj HK'!A:A,C6,'zdroj HK'!B:B),2)</f>
        <v>0</v>
      </c>
      <c r="F6" s="105"/>
      <c r="G6" s="105">
        <f t="shared" ref="G6:G10" si="0">E6+F6</f>
        <v>0</v>
      </c>
      <c r="I6" s="101" t="s">
        <v>768</v>
      </c>
    </row>
    <row r="7" spans="1:20">
      <c r="B7" s="110" t="s">
        <v>432</v>
      </c>
      <c r="C7" s="111">
        <v>13</v>
      </c>
      <c r="D7" s="112" t="s">
        <v>485</v>
      </c>
      <c r="E7" s="105">
        <f>ROUND(SUMIF('zdroj HK'!A:A,C7,'zdroj HK'!B:B),2)</f>
        <v>0</v>
      </c>
      <c r="F7" s="105"/>
      <c r="G7" s="105">
        <f>E7+F7</f>
        <v>0</v>
      </c>
      <c r="I7" s="101" t="s">
        <v>768</v>
      </c>
    </row>
    <row r="8" spans="1:20">
      <c r="B8" s="110" t="s">
        <v>434</v>
      </c>
      <c r="C8" s="111">
        <v>14</v>
      </c>
      <c r="D8" s="112" t="s">
        <v>499</v>
      </c>
      <c r="E8" s="105">
        <f>ROUND(SUMIF('zdroj HK'!A:A,C8,'zdroj HK'!B:B),2)</f>
        <v>0</v>
      </c>
      <c r="F8" s="105"/>
      <c r="G8" s="105">
        <f t="shared" si="0"/>
        <v>0</v>
      </c>
      <c r="I8" s="101" t="s">
        <v>768</v>
      </c>
    </row>
    <row r="9" spans="1:20">
      <c r="B9" s="110" t="s">
        <v>436</v>
      </c>
      <c r="C9" s="113">
        <v>18</v>
      </c>
      <c r="D9" s="112" t="s">
        <v>500</v>
      </c>
      <c r="E9" s="105">
        <f>ROUND(SUMIF('zdroj HK'!A:A,C9,'zdroj HK'!B:B),2)</f>
        <v>0</v>
      </c>
      <c r="F9" s="105"/>
      <c r="G9" s="105">
        <f t="shared" si="0"/>
        <v>0</v>
      </c>
      <c r="I9" s="101" t="s">
        <v>768</v>
      </c>
    </row>
    <row r="10" spans="1:20">
      <c r="B10" s="110" t="s">
        <v>436</v>
      </c>
      <c r="C10" s="111">
        <v>19</v>
      </c>
      <c r="D10" s="112" t="s">
        <v>501</v>
      </c>
      <c r="E10" s="105">
        <f>ROUND(SUMIF('zdroj HK'!A:A,C10,'zdroj HK'!B:B),2)</f>
        <v>0</v>
      </c>
      <c r="F10" s="105"/>
      <c r="G10" s="105">
        <f t="shared" si="0"/>
        <v>0</v>
      </c>
      <c r="I10" s="101" t="s">
        <v>768</v>
      </c>
    </row>
    <row r="11" spans="1:20">
      <c r="B11" s="102">
        <v>0</v>
      </c>
      <c r="C11" s="103"/>
      <c r="D11" s="104"/>
      <c r="E11" s="105"/>
      <c r="F11" s="105"/>
      <c r="G11" s="105"/>
    </row>
    <row r="12" spans="1:20">
      <c r="B12" s="102">
        <v>0</v>
      </c>
      <c r="C12" s="107" t="s">
        <v>502</v>
      </c>
      <c r="D12" s="108" t="s">
        <v>503</v>
      </c>
      <c r="E12" s="105"/>
      <c r="F12" s="105"/>
      <c r="G12" s="105"/>
    </row>
    <row r="13" spans="1:20">
      <c r="B13" s="110" t="s">
        <v>443</v>
      </c>
      <c r="C13" s="111">
        <v>21</v>
      </c>
      <c r="D13" s="112" t="s">
        <v>486</v>
      </c>
      <c r="E13" s="105">
        <f>ROUND(SUMIF('zdroj HK'!A:A,C13,'zdroj HK'!B:B),2)</f>
        <v>0</v>
      </c>
      <c r="F13" s="105"/>
      <c r="G13" s="105">
        <f t="shared" ref="G13:G19" si="1">E13+F13</f>
        <v>0</v>
      </c>
      <c r="I13" s="101" t="s">
        <v>768</v>
      </c>
    </row>
    <row r="14" spans="1:20">
      <c r="B14" s="110" t="s">
        <v>445</v>
      </c>
      <c r="C14" s="111">
        <v>22</v>
      </c>
      <c r="D14" s="112" t="s">
        <v>504</v>
      </c>
      <c r="E14" s="105">
        <f>ROUND(SUMIF('zdroj HK'!A:A,C14,'zdroj HK'!B:B),2)</f>
        <v>0</v>
      </c>
      <c r="F14" s="105"/>
      <c r="G14" s="105">
        <f t="shared" si="1"/>
        <v>0</v>
      </c>
      <c r="I14" s="101" t="s">
        <v>768</v>
      </c>
    </row>
    <row r="15" spans="1:20">
      <c r="B15" s="110" t="s">
        <v>447</v>
      </c>
      <c r="C15" s="111">
        <v>23</v>
      </c>
      <c r="D15" s="112" t="s">
        <v>487</v>
      </c>
      <c r="E15" s="105">
        <f>ROUND(SUMIF('zdroj HK'!A:A,C15,'zdroj HK'!B:B),2)</f>
        <v>0</v>
      </c>
      <c r="F15" s="105"/>
      <c r="G15" s="105">
        <f t="shared" si="1"/>
        <v>0</v>
      </c>
      <c r="I15" s="101" t="s">
        <v>768</v>
      </c>
    </row>
    <row r="16" spans="1:20">
      <c r="B16" s="110" t="s">
        <v>449</v>
      </c>
      <c r="C16" s="111">
        <v>25</v>
      </c>
      <c r="D16" s="112" t="s">
        <v>505</v>
      </c>
      <c r="E16" s="105">
        <f>ROUND(SUMIF('zdroj HK'!A:A,C16,'zdroj HK'!B:B),2)</f>
        <v>0</v>
      </c>
      <c r="F16" s="105"/>
      <c r="G16" s="105">
        <f t="shared" si="1"/>
        <v>0</v>
      </c>
      <c r="I16" s="101" t="s">
        <v>768</v>
      </c>
    </row>
    <row r="17" spans="2:9">
      <c r="B17" s="110" t="s">
        <v>451</v>
      </c>
      <c r="C17" s="111">
        <v>26</v>
      </c>
      <c r="D17" s="112" t="s">
        <v>506</v>
      </c>
      <c r="E17" s="105">
        <f>ROUND(SUMIF('zdroj HK'!A:A,C17,'zdroj HK'!B:B),2)</f>
        <v>0</v>
      </c>
      <c r="F17" s="105"/>
      <c r="G17" s="105">
        <f t="shared" si="1"/>
        <v>0</v>
      </c>
      <c r="I17" s="101" t="s">
        <v>768</v>
      </c>
    </row>
    <row r="18" spans="2:9">
      <c r="B18" s="110" t="s">
        <v>453</v>
      </c>
      <c r="C18" s="111">
        <v>28</v>
      </c>
      <c r="D18" s="112" t="s">
        <v>507</v>
      </c>
      <c r="E18" s="105">
        <f>ROUND(SUMIF('zdroj HK'!A:A,C18,'zdroj HK'!B:B),2)</f>
        <v>0</v>
      </c>
      <c r="F18" s="105"/>
      <c r="G18" s="105">
        <f t="shared" si="1"/>
        <v>0</v>
      </c>
      <c r="I18" s="101" t="s">
        <v>768</v>
      </c>
    </row>
    <row r="19" spans="2:9">
      <c r="B19" s="110" t="s">
        <v>455</v>
      </c>
      <c r="C19" s="111">
        <v>29</v>
      </c>
      <c r="D19" s="112" t="s">
        <v>508</v>
      </c>
      <c r="E19" s="105">
        <f>ROUND(SUMIF('zdroj HK'!A:A,C19,'zdroj HK'!B:B),2)</f>
        <v>0</v>
      </c>
      <c r="F19" s="105"/>
      <c r="G19" s="105">
        <f t="shared" si="1"/>
        <v>0</v>
      </c>
      <c r="I19" s="101" t="s">
        <v>768</v>
      </c>
    </row>
    <row r="20" spans="2:9">
      <c r="B20" s="102">
        <v>0</v>
      </c>
      <c r="C20" s="103"/>
      <c r="D20" s="104"/>
      <c r="E20" s="105"/>
      <c r="F20" s="105"/>
      <c r="G20" s="105"/>
    </row>
    <row r="21" spans="2:9">
      <c r="B21" s="102">
        <v>0</v>
      </c>
      <c r="C21" s="107" t="s">
        <v>509</v>
      </c>
      <c r="D21" s="108" t="s">
        <v>510</v>
      </c>
      <c r="E21" s="105"/>
      <c r="F21" s="105"/>
      <c r="G21" s="105"/>
    </row>
    <row r="22" spans="2:9">
      <c r="B22" s="110" t="s">
        <v>441</v>
      </c>
      <c r="C22" s="111">
        <v>31</v>
      </c>
      <c r="D22" s="112" t="s">
        <v>511</v>
      </c>
      <c r="E22" s="105">
        <f>ROUND(SUMIF('zdroj HK'!A:A,C22,'zdroj HK'!B:B),2)</f>
        <v>0</v>
      </c>
      <c r="F22" s="105"/>
      <c r="G22" s="105">
        <f t="shared" ref="G22:G23" si="2">E22+F22</f>
        <v>0</v>
      </c>
      <c r="I22" s="101" t="s">
        <v>768</v>
      </c>
    </row>
    <row r="23" spans="2:9">
      <c r="B23" s="110" t="s">
        <v>442</v>
      </c>
      <c r="C23" s="111">
        <v>32</v>
      </c>
      <c r="D23" s="112" t="s">
        <v>512</v>
      </c>
      <c r="E23" s="105">
        <f>ROUND(SUMIF('zdroj HK'!A:A,C23,'zdroj HK'!B:B),2)</f>
        <v>0</v>
      </c>
      <c r="F23" s="105"/>
      <c r="G23" s="105">
        <f t="shared" si="2"/>
        <v>0</v>
      </c>
      <c r="I23" s="101" t="s">
        <v>768</v>
      </c>
    </row>
    <row r="24" spans="2:9">
      <c r="B24" s="102">
        <v>0</v>
      </c>
      <c r="C24" s="103"/>
      <c r="D24" s="104"/>
      <c r="E24" s="105"/>
      <c r="F24" s="105"/>
      <c r="G24" s="105"/>
    </row>
    <row r="25" spans="2:9">
      <c r="B25" s="102">
        <v>0</v>
      </c>
      <c r="C25" s="109" t="s">
        <v>513</v>
      </c>
      <c r="D25" s="108" t="s">
        <v>514</v>
      </c>
      <c r="E25" s="105"/>
      <c r="F25" s="105"/>
      <c r="G25" s="105"/>
    </row>
    <row r="26" spans="2:9">
      <c r="B26" s="110" t="s">
        <v>438</v>
      </c>
      <c r="C26" s="111">
        <v>41</v>
      </c>
      <c r="D26" s="112" t="s">
        <v>515</v>
      </c>
      <c r="E26" s="105">
        <f>ROUND(SUMIF('zdroj HK'!A:A,C26,'zdroj HK'!B:B),2)</f>
        <v>0</v>
      </c>
      <c r="F26" s="105"/>
      <c r="G26" s="105">
        <f t="shared" ref="G26:G28" si="3">E26+F26</f>
        <v>0</v>
      </c>
      <c r="I26" s="101" t="s">
        <v>768</v>
      </c>
    </row>
    <row r="27" spans="2:9">
      <c r="B27" s="110" t="s">
        <v>457</v>
      </c>
      <c r="C27" s="111">
        <v>42</v>
      </c>
      <c r="D27" s="112" t="s">
        <v>516</v>
      </c>
      <c r="E27" s="105">
        <f>ROUND(SUMIF('zdroj HK'!A:A,C27,'zdroj HK'!B:B),2)</f>
        <v>0</v>
      </c>
      <c r="F27" s="105"/>
      <c r="G27" s="105">
        <f t="shared" si="3"/>
        <v>0</v>
      </c>
      <c r="I27" s="101" t="s">
        <v>768</v>
      </c>
    </row>
    <row r="28" spans="2:9">
      <c r="B28" s="110" t="s">
        <v>465</v>
      </c>
      <c r="C28" s="111">
        <v>43</v>
      </c>
      <c r="D28" s="112" t="s">
        <v>517</v>
      </c>
      <c r="E28" s="105">
        <f>ROUND(SUMIF('zdroj HK'!A:A,C28,'zdroj HK'!B:B),2)</f>
        <v>0</v>
      </c>
      <c r="F28" s="105"/>
      <c r="G28" s="105">
        <f t="shared" si="3"/>
        <v>0</v>
      </c>
      <c r="I28" s="101" t="s">
        <v>768</v>
      </c>
    </row>
    <row r="29" spans="2:9">
      <c r="B29" s="102">
        <v>0</v>
      </c>
      <c r="C29" s="103"/>
      <c r="D29" s="104"/>
      <c r="E29" s="105"/>
      <c r="F29" s="105"/>
      <c r="G29" s="105"/>
    </row>
    <row r="30" spans="2:9">
      <c r="B30" s="102">
        <v>0</v>
      </c>
      <c r="C30" s="109" t="s">
        <v>518</v>
      </c>
      <c r="D30" s="108" t="s">
        <v>519</v>
      </c>
      <c r="E30" s="105"/>
      <c r="F30" s="105"/>
      <c r="G30" s="105"/>
    </row>
    <row r="31" spans="2:9">
      <c r="B31" s="110" t="s">
        <v>440</v>
      </c>
      <c r="C31" s="111">
        <v>51</v>
      </c>
      <c r="D31" s="112" t="s">
        <v>520</v>
      </c>
      <c r="E31" s="105">
        <f>ROUND(SUMIF('zdroj HK'!A:A,C31,'zdroj HK'!B:B),2)</f>
        <v>0</v>
      </c>
      <c r="F31" s="105"/>
      <c r="G31" s="105">
        <f t="shared" ref="G31:G33" si="4">E31+F31</f>
        <v>0</v>
      </c>
      <c r="I31" s="101" t="s">
        <v>768</v>
      </c>
    </row>
    <row r="32" spans="2:9">
      <c r="B32" s="110" t="s">
        <v>459</v>
      </c>
      <c r="C32" s="111">
        <v>52</v>
      </c>
      <c r="D32" s="112" t="s">
        <v>521</v>
      </c>
      <c r="E32" s="105">
        <f>ROUND(SUMIF('zdroj HK'!A:A,C32,'zdroj HK'!B:B),2)</f>
        <v>0</v>
      </c>
      <c r="F32" s="105"/>
      <c r="G32" s="105">
        <f t="shared" si="4"/>
        <v>0</v>
      </c>
      <c r="I32" s="101" t="s">
        <v>768</v>
      </c>
    </row>
    <row r="33" spans="2:9">
      <c r="B33" s="110" t="s">
        <v>466</v>
      </c>
      <c r="C33" s="111">
        <v>53</v>
      </c>
      <c r="D33" s="112" t="s">
        <v>522</v>
      </c>
      <c r="E33" s="105">
        <f>ROUND(SUMIF('zdroj HK'!A:A,C33,'zdroj HK'!B:B),2)</f>
        <v>0</v>
      </c>
      <c r="F33" s="105"/>
      <c r="G33" s="105">
        <f t="shared" si="4"/>
        <v>0</v>
      </c>
      <c r="I33" s="101" t="s">
        <v>768</v>
      </c>
    </row>
    <row r="34" spans="2:9">
      <c r="B34" s="102">
        <v>0</v>
      </c>
      <c r="C34" s="103"/>
      <c r="D34" s="104"/>
      <c r="E34" s="105"/>
      <c r="F34" s="105"/>
      <c r="G34" s="105"/>
    </row>
    <row r="35" spans="2:9">
      <c r="B35" s="102">
        <v>0</v>
      </c>
      <c r="C35" s="114" t="s">
        <v>523</v>
      </c>
      <c r="D35" s="108" t="s">
        <v>524</v>
      </c>
      <c r="E35" s="105"/>
      <c r="F35" s="105"/>
      <c r="G35" s="105"/>
    </row>
    <row r="36" spans="2:9">
      <c r="B36" s="110" t="s">
        <v>460</v>
      </c>
      <c r="C36" s="111">
        <v>61</v>
      </c>
      <c r="D36" s="112" t="s">
        <v>525</v>
      </c>
      <c r="E36" s="105">
        <f>ROUND(SUMIF('zdroj HK'!A:A,C36,'zdroj HK'!B:B),2)</f>
        <v>0</v>
      </c>
      <c r="F36" s="105"/>
      <c r="G36" s="105">
        <f t="shared" ref="G36:G41" si="5">E36+F36</f>
        <v>0</v>
      </c>
      <c r="I36" s="101" t="s">
        <v>768</v>
      </c>
    </row>
    <row r="37" spans="2:9">
      <c r="B37" s="110" t="s">
        <v>461</v>
      </c>
      <c r="C37" s="111">
        <v>62</v>
      </c>
      <c r="D37" s="112" t="s">
        <v>526</v>
      </c>
      <c r="E37" s="105">
        <f>ROUND(SUMIF('zdroj HK'!A:A,C37,'zdroj HK'!B:B),2)</f>
        <v>0</v>
      </c>
      <c r="F37" s="105"/>
      <c r="G37" s="105">
        <f t="shared" si="5"/>
        <v>0</v>
      </c>
      <c r="I37" s="101" t="s">
        <v>768</v>
      </c>
    </row>
    <row r="38" spans="2:9">
      <c r="B38" s="110" t="s">
        <v>462</v>
      </c>
      <c r="C38" s="111">
        <v>65</v>
      </c>
      <c r="D38" s="112" t="s">
        <v>527</v>
      </c>
      <c r="E38" s="105">
        <f>ROUND(SUMIF('zdroj HK'!A:A,C38,'zdroj HK'!B:B),2)</f>
        <v>0</v>
      </c>
      <c r="F38" s="105"/>
      <c r="G38" s="105">
        <f t="shared" si="5"/>
        <v>0</v>
      </c>
      <c r="I38" s="101" t="s">
        <v>768</v>
      </c>
    </row>
    <row r="39" spans="2:9">
      <c r="B39" s="110" t="s">
        <v>463</v>
      </c>
      <c r="C39" s="111">
        <v>66</v>
      </c>
      <c r="D39" s="112" t="s">
        <v>528</v>
      </c>
      <c r="E39" s="105">
        <f>ROUND(SUMIF('zdroj HK'!A:A,C39,'zdroj HK'!B:B),2)</f>
        <v>0</v>
      </c>
      <c r="F39" s="105"/>
      <c r="G39" s="105">
        <f t="shared" si="5"/>
        <v>0</v>
      </c>
      <c r="I39" s="101" t="s">
        <v>768</v>
      </c>
    </row>
    <row r="40" spans="2:9">
      <c r="B40" s="110" t="s">
        <v>463</v>
      </c>
      <c r="C40" s="111">
        <v>67</v>
      </c>
      <c r="D40" s="112" t="s">
        <v>529</v>
      </c>
      <c r="E40" s="105">
        <f>ROUND(SUMIF('zdroj HK'!A:A,C40,'zdroj HK'!B:B),2)</f>
        <v>0</v>
      </c>
      <c r="F40" s="105"/>
      <c r="G40" s="105">
        <f t="shared" si="5"/>
        <v>0</v>
      </c>
      <c r="I40" s="101" t="s">
        <v>768</v>
      </c>
    </row>
    <row r="41" spans="2:9">
      <c r="B41" s="110" t="s">
        <v>464</v>
      </c>
      <c r="C41" s="111">
        <v>69</v>
      </c>
      <c r="D41" s="112" t="s">
        <v>530</v>
      </c>
      <c r="E41" s="105">
        <f>ROUND(SUMIF('zdroj HK'!A:A,C41,'zdroj HK'!B:B),2)</f>
        <v>0</v>
      </c>
      <c r="F41" s="105"/>
      <c r="G41" s="105">
        <f t="shared" si="5"/>
        <v>0</v>
      </c>
      <c r="I41" s="101" t="s">
        <v>768</v>
      </c>
    </row>
    <row r="42" spans="2:9">
      <c r="B42" s="102">
        <v>0</v>
      </c>
      <c r="C42" s="103"/>
      <c r="D42" s="104"/>
      <c r="E42" s="105"/>
      <c r="F42" s="105"/>
      <c r="G42" s="105"/>
    </row>
    <row r="43" spans="2:9">
      <c r="B43" s="102">
        <v>0</v>
      </c>
      <c r="C43" s="107" t="s">
        <v>531</v>
      </c>
      <c r="D43" s="108" t="s">
        <v>532</v>
      </c>
      <c r="E43" s="105"/>
      <c r="F43" s="105"/>
      <c r="G43" s="105"/>
    </row>
    <row r="44" spans="2:9">
      <c r="B44" s="110" t="s">
        <v>431</v>
      </c>
      <c r="C44" s="111">
        <v>72</v>
      </c>
      <c r="D44" s="112" t="s">
        <v>533</v>
      </c>
      <c r="E44" s="105">
        <f>ROUND(SUMIF('zdroj HK'!A:A,C44,'zdroj HK'!B:B),2)</f>
        <v>0</v>
      </c>
      <c r="F44" s="105"/>
      <c r="G44" s="105">
        <f t="shared" ref="G44:G48" si="6">E44+F44</f>
        <v>0</v>
      </c>
      <c r="I44" s="101" t="s">
        <v>768</v>
      </c>
    </row>
    <row r="45" spans="2:9">
      <c r="B45" s="110" t="s">
        <v>433</v>
      </c>
      <c r="C45" s="111">
        <v>73</v>
      </c>
      <c r="D45" s="112" t="s">
        <v>534</v>
      </c>
      <c r="E45" s="105">
        <f>ROUND(SUMIF('zdroj HK'!A:A,C45,'zdroj HK'!B:B),2)</f>
        <v>0</v>
      </c>
      <c r="F45" s="105"/>
      <c r="G45" s="105">
        <f t="shared" si="6"/>
        <v>0</v>
      </c>
      <c r="I45" s="101" t="s">
        <v>768</v>
      </c>
    </row>
    <row r="46" spans="2:9">
      <c r="B46" s="110" t="s">
        <v>435</v>
      </c>
      <c r="C46" s="111">
        <v>74</v>
      </c>
      <c r="D46" s="112" t="s">
        <v>535</v>
      </c>
      <c r="E46" s="105">
        <f>ROUND(SUMIF('zdroj HK'!A:A,C46,'zdroj HK'!B:B),2)</f>
        <v>0</v>
      </c>
      <c r="F46" s="105"/>
      <c r="G46" s="105">
        <f t="shared" si="6"/>
        <v>0</v>
      </c>
      <c r="I46" s="101" t="s">
        <v>768</v>
      </c>
    </row>
    <row r="47" spans="2:9">
      <c r="B47" s="110" t="s">
        <v>437</v>
      </c>
      <c r="C47" s="111">
        <v>78</v>
      </c>
      <c r="D47" s="112" t="s">
        <v>536</v>
      </c>
      <c r="E47" s="105">
        <f>ROUND(SUMIF('zdroj HK'!A:A,C47,'zdroj HK'!B:B),2)</f>
        <v>0</v>
      </c>
      <c r="F47" s="105"/>
      <c r="G47" s="105">
        <f t="shared" si="6"/>
        <v>0</v>
      </c>
      <c r="I47" s="101" t="s">
        <v>768</v>
      </c>
    </row>
    <row r="48" spans="2:9">
      <c r="B48" s="110" t="s">
        <v>437</v>
      </c>
      <c r="C48" s="111">
        <v>79</v>
      </c>
      <c r="D48" s="112" t="s">
        <v>537</v>
      </c>
      <c r="E48" s="105">
        <f>ROUND(SUMIF('zdroj HK'!A:A,C48,'zdroj HK'!B:B),2)</f>
        <v>0</v>
      </c>
      <c r="F48" s="105"/>
      <c r="G48" s="105">
        <f t="shared" si="6"/>
        <v>0</v>
      </c>
      <c r="I48" s="101" t="s">
        <v>768</v>
      </c>
    </row>
    <row r="49" spans="2:16">
      <c r="B49" s="102">
        <v>0</v>
      </c>
      <c r="C49" s="103"/>
      <c r="D49" s="104"/>
      <c r="E49" s="105"/>
      <c r="F49" s="105"/>
      <c r="G49" s="105"/>
    </row>
    <row r="50" spans="2:16">
      <c r="B50" s="102">
        <v>0</v>
      </c>
      <c r="C50" s="107" t="s">
        <v>538</v>
      </c>
      <c r="D50" s="108" t="s">
        <v>539</v>
      </c>
      <c r="E50" s="105"/>
      <c r="F50" s="105"/>
      <c r="G50" s="105"/>
    </row>
    <row r="51" spans="2:16">
      <c r="B51" s="110" t="s">
        <v>444</v>
      </c>
      <c r="C51" s="111">
        <v>81</v>
      </c>
      <c r="D51" s="112" t="s">
        <v>488</v>
      </c>
      <c r="E51" s="105">
        <f>ROUND(SUMIF('zdroj HK'!A:A,C51,'zdroj HK'!B:B),2)</f>
        <v>0</v>
      </c>
      <c r="F51" s="105"/>
      <c r="G51" s="105">
        <f t="shared" ref="G51:G57" si="7">E51+F51</f>
        <v>0</v>
      </c>
      <c r="I51" s="101" t="s">
        <v>768</v>
      </c>
    </row>
    <row r="52" spans="2:16">
      <c r="B52" s="110" t="s">
        <v>446</v>
      </c>
      <c r="C52" s="111">
        <v>82</v>
      </c>
      <c r="D52" s="112" t="s">
        <v>540</v>
      </c>
      <c r="E52" s="105">
        <f>ROUND(SUMIF('zdroj HK'!A:A,C52,'zdroj HK'!B:B),2)</f>
        <v>0</v>
      </c>
      <c r="F52" s="105"/>
      <c r="G52" s="105">
        <f t="shared" si="7"/>
        <v>0</v>
      </c>
      <c r="I52" s="101" t="s">
        <v>768</v>
      </c>
    </row>
    <row r="53" spans="2:16">
      <c r="B53" s="110" t="s">
        <v>448</v>
      </c>
      <c r="C53" s="111">
        <v>83</v>
      </c>
      <c r="D53" s="112" t="s">
        <v>489</v>
      </c>
      <c r="E53" s="105">
        <f>ROUND(SUMIF('zdroj HK'!A:A,C53,'zdroj HK'!B:B),2)</f>
        <v>0</v>
      </c>
      <c r="F53" s="105"/>
      <c r="G53" s="105">
        <f t="shared" si="7"/>
        <v>0</v>
      </c>
      <c r="I53" s="101" t="s">
        <v>768</v>
      </c>
    </row>
    <row r="54" spans="2:16">
      <c r="B54" s="110" t="s">
        <v>450</v>
      </c>
      <c r="C54" s="111">
        <v>85</v>
      </c>
      <c r="D54" s="112" t="s">
        <v>541</v>
      </c>
      <c r="E54" s="105">
        <f>ROUND(SUMIF('zdroj HK'!A:A,C54,'zdroj HK'!B:B),2)</f>
        <v>0</v>
      </c>
      <c r="F54" s="105"/>
      <c r="G54" s="105">
        <f t="shared" si="7"/>
        <v>0</v>
      </c>
      <c r="I54" s="101" t="s">
        <v>768</v>
      </c>
    </row>
    <row r="55" spans="2:16">
      <c r="B55" s="110" t="s">
        <v>452</v>
      </c>
      <c r="C55" s="111">
        <v>86</v>
      </c>
      <c r="D55" s="112" t="s">
        <v>542</v>
      </c>
      <c r="E55" s="105">
        <f>ROUND(SUMIF('zdroj HK'!A:A,C55,'zdroj HK'!B:B),2)</f>
        <v>0</v>
      </c>
      <c r="F55" s="105"/>
      <c r="G55" s="105">
        <f t="shared" si="7"/>
        <v>0</v>
      </c>
      <c r="I55" s="101" t="s">
        <v>768</v>
      </c>
    </row>
    <row r="56" spans="2:16">
      <c r="B56" s="110" t="s">
        <v>454</v>
      </c>
      <c r="C56" s="111">
        <v>88</v>
      </c>
      <c r="D56" s="112" t="s">
        <v>543</v>
      </c>
      <c r="E56" s="105">
        <f>ROUND(SUMIF('zdroj HK'!A:A,C56,'zdroj HK'!B:B),2)</f>
        <v>0</v>
      </c>
      <c r="F56" s="105"/>
      <c r="G56" s="105">
        <f t="shared" si="7"/>
        <v>0</v>
      </c>
      <c r="I56" s="101" t="s">
        <v>768</v>
      </c>
    </row>
    <row r="57" spans="2:16">
      <c r="B57" s="110" t="s">
        <v>456</v>
      </c>
      <c r="C57" s="111">
        <v>89</v>
      </c>
      <c r="D57" s="112" t="s">
        <v>544</v>
      </c>
      <c r="E57" s="105">
        <f>ROUND(SUMIF('zdroj HK'!A:A,C57,'zdroj HK'!B:B),2)</f>
        <v>0</v>
      </c>
      <c r="F57" s="105"/>
      <c r="G57" s="105">
        <f t="shared" si="7"/>
        <v>0</v>
      </c>
      <c r="I57" s="101" t="s">
        <v>768</v>
      </c>
    </row>
    <row r="58" spans="2:16">
      <c r="B58" s="102">
        <v>0</v>
      </c>
      <c r="C58" s="103"/>
      <c r="D58" s="104"/>
      <c r="E58" s="105"/>
      <c r="F58" s="105"/>
      <c r="G58" s="105"/>
    </row>
    <row r="59" spans="2:16">
      <c r="B59" s="102">
        <v>0</v>
      </c>
      <c r="C59" s="107" t="s">
        <v>545</v>
      </c>
      <c r="D59" s="108" t="s">
        <v>546</v>
      </c>
      <c r="E59" s="105"/>
      <c r="F59" s="105"/>
      <c r="G59" s="105"/>
    </row>
    <row r="60" spans="2:16">
      <c r="B60" s="102">
        <v>0</v>
      </c>
      <c r="C60" s="115">
        <v>91</v>
      </c>
      <c r="D60" s="116" t="s">
        <v>547</v>
      </c>
      <c r="E60" s="117">
        <f>ROUND(SUMIF('zdroj HK'!A:A,C60,'zdroj HK'!B:B),2)</f>
        <v>0</v>
      </c>
      <c r="F60" s="117"/>
      <c r="G60" s="117"/>
      <c r="I60" s="101" t="s">
        <v>768</v>
      </c>
    </row>
    <row r="61" spans="2:16">
      <c r="B61" s="110" t="s">
        <v>431</v>
      </c>
      <c r="C61" s="118"/>
      <c r="D61" s="119" t="s">
        <v>757</v>
      </c>
      <c r="E61" s="120"/>
      <c r="F61" s="120"/>
      <c r="G61" s="120">
        <f>E61+F61</f>
        <v>0</v>
      </c>
      <c r="I61" s="121">
        <f>$E$60</f>
        <v>0</v>
      </c>
      <c r="P61" s="190"/>
    </row>
    <row r="62" spans="2:16">
      <c r="B62" s="110" t="s">
        <v>433</v>
      </c>
      <c r="C62" s="118"/>
      <c r="D62" s="119" t="s">
        <v>758</v>
      </c>
      <c r="E62" s="120"/>
      <c r="F62" s="120"/>
      <c r="G62" s="120">
        <f t="shared" ref="G62:G64" si="8">E62+F62</f>
        <v>0</v>
      </c>
      <c r="I62" s="121">
        <f t="shared" ref="I62:I64" si="9">$E$60</f>
        <v>0</v>
      </c>
      <c r="P62" s="190"/>
    </row>
    <row r="63" spans="2:16">
      <c r="B63" s="110" t="s">
        <v>435</v>
      </c>
      <c r="C63" s="118"/>
      <c r="D63" s="119" t="s">
        <v>759</v>
      </c>
      <c r="E63" s="120"/>
      <c r="F63" s="120"/>
      <c r="G63" s="120">
        <f t="shared" si="8"/>
        <v>0</v>
      </c>
      <c r="I63" s="121">
        <f t="shared" si="9"/>
        <v>0</v>
      </c>
      <c r="P63" s="190"/>
    </row>
    <row r="64" spans="2:16">
      <c r="B64" s="110" t="s">
        <v>437</v>
      </c>
      <c r="C64" s="118"/>
      <c r="D64" s="119" t="s">
        <v>760</v>
      </c>
      <c r="E64" s="120"/>
      <c r="F64" s="120"/>
      <c r="G64" s="120">
        <f t="shared" si="8"/>
        <v>0</v>
      </c>
      <c r="I64" s="121">
        <f t="shared" si="9"/>
        <v>0</v>
      </c>
      <c r="P64" s="190"/>
    </row>
    <row r="65" spans="2:16">
      <c r="B65" s="102">
        <v>0</v>
      </c>
      <c r="C65" s="115">
        <v>92</v>
      </c>
      <c r="D65" s="116" t="s">
        <v>548</v>
      </c>
      <c r="E65" s="117">
        <f>ROUND(SUMIF('zdroj HK'!A:A,C65,'zdroj HK'!B:B),2)</f>
        <v>0</v>
      </c>
      <c r="F65" s="117"/>
      <c r="G65" s="117"/>
      <c r="I65" s="101" t="s">
        <v>768</v>
      </c>
    </row>
    <row r="66" spans="2:16">
      <c r="B66" s="110" t="s">
        <v>444</v>
      </c>
      <c r="C66" s="118"/>
      <c r="D66" s="119" t="s">
        <v>761</v>
      </c>
      <c r="E66" s="120"/>
      <c r="F66" s="120"/>
      <c r="G66" s="120">
        <f t="shared" ref="G66:G72" si="10">E66+F66</f>
        <v>0</v>
      </c>
      <c r="I66" s="121">
        <f>$E$65</f>
        <v>0</v>
      </c>
      <c r="P66" s="190"/>
    </row>
    <row r="67" spans="2:16">
      <c r="B67" s="110" t="s">
        <v>446</v>
      </c>
      <c r="C67" s="118"/>
      <c r="D67" s="119" t="s">
        <v>762</v>
      </c>
      <c r="E67" s="120"/>
      <c r="F67" s="120"/>
      <c r="G67" s="120">
        <f t="shared" si="10"/>
        <v>0</v>
      </c>
      <c r="I67" s="121">
        <f t="shared" ref="I67:I72" si="11">$E$65</f>
        <v>0</v>
      </c>
      <c r="P67" s="190"/>
    </row>
    <row r="68" spans="2:16">
      <c r="B68" s="110" t="s">
        <v>448</v>
      </c>
      <c r="C68" s="118"/>
      <c r="D68" s="119" t="s">
        <v>763</v>
      </c>
      <c r="E68" s="120"/>
      <c r="F68" s="120"/>
      <c r="G68" s="120">
        <f t="shared" si="10"/>
        <v>0</v>
      </c>
      <c r="I68" s="121">
        <f t="shared" si="11"/>
        <v>0</v>
      </c>
      <c r="P68" s="190"/>
    </row>
    <row r="69" spans="2:16">
      <c r="B69" s="110" t="s">
        <v>450</v>
      </c>
      <c r="C69" s="118"/>
      <c r="D69" s="119" t="s">
        <v>764</v>
      </c>
      <c r="E69" s="120"/>
      <c r="F69" s="120"/>
      <c r="G69" s="120">
        <f t="shared" si="10"/>
        <v>0</v>
      </c>
      <c r="I69" s="121">
        <f t="shared" si="11"/>
        <v>0</v>
      </c>
      <c r="P69" s="190"/>
    </row>
    <row r="70" spans="2:16">
      <c r="B70" s="110" t="s">
        <v>452</v>
      </c>
      <c r="C70" s="118"/>
      <c r="D70" s="119" t="s">
        <v>765</v>
      </c>
      <c r="E70" s="120"/>
      <c r="F70" s="120"/>
      <c r="G70" s="120">
        <f t="shared" si="10"/>
        <v>0</v>
      </c>
      <c r="I70" s="121">
        <f t="shared" si="11"/>
        <v>0</v>
      </c>
      <c r="P70" s="190"/>
    </row>
    <row r="71" spans="2:16">
      <c r="B71" s="110" t="s">
        <v>454</v>
      </c>
      <c r="C71" s="118"/>
      <c r="D71" s="119" t="s">
        <v>766</v>
      </c>
      <c r="E71" s="120"/>
      <c r="F71" s="120"/>
      <c r="G71" s="120">
        <f t="shared" si="10"/>
        <v>0</v>
      </c>
      <c r="I71" s="121">
        <f t="shared" si="11"/>
        <v>0</v>
      </c>
      <c r="P71" s="190"/>
    </row>
    <row r="72" spans="2:16">
      <c r="B72" s="110" t="s">
        <v>456</v>
      </c>
      <c r="C72" s="118"/>
      <c r="D72" s="119" t="s">
        <v>767</v>
      </c>
      <c r="E72" s="120"/>
      <c r="F72" s="120"/>
      <c r="G72" s="120">
        <f t="shared" si="10"/>
        <v>0</v>
      </c>
      <c r="I72" s="121">
        <f t="shared" si="11"/>
        <v>0</v>
      </c>
      <c r="P72" s="190"/>
    </row>
    <row r="73" spans="2:16">
      <c r="B73" s="110" t="s">
        <v>439</v>
      </c>
      <c r="C73" s="111">
        <v>93</v>
      </c>
      <c r="D73" s="112" t="s">
        <v>549</v>
      </c>
      <c r="E73" s="105">
        <f>ROUND(SUMIF('zdroj HK'!A:A,C73,'zdroj HK'!B:B),2)</f>
        <v>0</v>
      </c>
      <c r="F73" s="105"/>
      <c r="G73" s="105">
        <f t="shared" ref="G73:G77" si="12">E73+F73</f>
        <v>0</v>
      </c>
      <c r="I73" s="101" t="s">
        <v>768</v>
      </c>
    </row>
    <row r="74" spans="2:16">
      <c r="B74" s="110" t="s">
        <v>458</v>
      </c>
      <c r="C74" s="111">
        <v>94</v>
      </c>
      <c r="D74" s="112" t="s">
        <v>550</v>
      </c>
      <c r="E74" s="105">
        <f>ROUND(SUMIF('zdroj HK'!A:A,C74,'zdroj HK'!B:B),2)</f>
        <v>0</v>
      </c>
      <c r="F74" s="105"/>
      <c r="G74" s="105">
        <f t="shared" si="12"/>
        <v>0</v>
      </c>
      <c r="I74" s="101" t="s">
        <v>768</v>
      </c>
    </row>
    <row r="75" spans="2:16">
      <c r="B75" s="102">
        <v>0</v>
      </c>
      <c r="C75" s="115">
        <v>95</v>
      </c>
      <c r="D75" s="116" t="s">
        <v>551</v>
      </c>
      <c r="E75" s="117">
        <f>ROUND(SUMIF('zdroj HK'!A:A,C75,'zdroj HK'!B:B),2)</f>
        <v>0</v>
      </c>
      <c r="F75" s="117"/>
      <c r="G75" s="117"/>
      <c r="I75" s="101" t="s">
        <v>768</v>
      </c>
    </row>
    <row r="76" spans="2:16">
      <c r="B76" s="110" t="s">
        <v>769</v>
      </c>
      <c r="C76" s="118"/>
      <c r="D76" s="119" t="s">
        <v>771</v>
      </c>
      <c r="E76" s="120"/>
      <c r="F76" s="120"/>
      <c r="G76" s="120">
        <f t="shared" si="12"/>
        <v>0</v>
      </c>
      <c r="I76" s="121">
        <f>$E$75</f>
        <v>0</v>
      </c>
      <c r="P76" s="190"/>
    </row>
    <row r="77" spans="2:16">
      <c r="B77" s="110" t="s">
        <v>770</v>
      </c>
      <c r="C77" s="118"/>
      <c r="D77" s="119" t="s">
        <v>772</v>
      </c>
      <c r="E77" s="120"/>
      <c r="F77" s="120"/>
      <c r="G77" s="120">
        <f t="shared" si="12"/>
        <v>0</v>
      </c>
      <c r="I77" s="121">
        <f>$E$75</f>
        <v>0</v>
      </c>
      <c r="P77" s="190"/>
    </row>
    <row r="78" spans="2:16">
      <c r="B78" s="102">
        <v>0</v>
      </c>
      <c r="C78" s="115">
        <v>96</v>
      </c>
      <c r="D78" s="116" t="s">
        <v>552</v>
      </c>
      <c r="E78" s="117">
        <f>ROUND(SUMIF('zdroj HK'!A:A,C78,'zdroj HK'!B:B),2)</f>
        <v>0</v>
      </c>
      <c r="F78" s="117"/>
      <c r="G78" s="117"/>
      <c r="I78" s="101" t="s">
        <v>768</v>
      </c>
    </row>
    <row r="79" spans="2:16">
      <c r="B79" s="110" t="s">
        <v>773</v>
      </c>
      <c r="C79" s="118"/>
      <c r="D79" s="119" t="s">
        <v>780</v>
      </c>
      <c r="E79" s="120"/>
      <c r="F79" s="120"/>
      <c r="G79" s="120">
        <f t="shared" ref="G79:G85" si="13">E79+F79</f>
        <v>0</v>
      </c>
      <c r="I79" s="121">
        <f>$E$78</f>
        <v>0</v>
      </c>
      <c r="P79" s="190"/>
    </row>
    <row r="80" spans="2:16">
      <c r="B80" s="110" t="s">
        <v>774</v>
      </c>
      <c r="C80" s="118"/>
      <c r="D80" s="119" t="s">
        <v>781</v>
      </c>
      <c r="E80" s="120"/>
      <c r="F80" s="120"/>
      <c r="G80" s="120">
        <f t="shared" si="13"/>
        <v>0</v>
      </c>
      <c r="I80" s="121">
        <f t="shared" ref="I80:I85" si="14">$E$78</f>
        <v>0</v>
      </c>
      <c r="P80" s="190"/>
    </row>
    <row r="81" spans="2:16">
      <c r="B81" s="110" t="s">
        <v>775</v>
      </c>
      <c r="C81" s="118"/>
      <c r="D81" s="119" t="s">
        <v>782</v>
      </c>
      <c r="E81" s="120"/>
      <c r="F81" s="120"/>
      <c r="G81" s="120">
        <f t="shared" si="13"/>
        <v>0</v>
      </c>
      <c r="I81" s="121">
        <f t="shared" si="14"/>
        <v>0</v>
      </c>
      <c r="P81" s="190"/>
    </row>
    <row r="82" spans="2:16">
      <c r="B82" s="110" t="s">
        <v>776</v>
      </c>
      <c r="C82" s="118"/>
      <c r="D82" s="119" t="s">
        <v>783</v>
      </c>
      <c r="E82" s="120"/>
      <c r="F82" s="120"/>
      <c r="G82" s="120">
        <f t="shared" si="13"/>
        <v>0</v>
      </c>
      <c r="I82" s="121">
        <f t="shared" si="14"/>
        <v>0</v>
      </c>
      <c r="P82" s="190"/>
    </row>
    <row r="83" spans="2:16">
      <c r="B83" s="110" t="s">
        <v>777</v>
      </c>
      <c r="C83" s="118"/>
      <c r="D83" s="119" t="s">
        <v>784</v>
      </c>
      <c r="E83" s="120"/>
      <c r="F83" s="120"/>
      <c r="G83" s="120">
        <f t="shared" si="13"/>
        <v>0</v>
      </c>
      <c r="I83" s="121">
        <f t="shared" si="14"/>
        <v>0</v>
      </c>
      <c r="P83" s="190"/>
    </row>
    <row r="84" spans="2:16">
      <c r="B84" s="110" t="s">
        <v>778</v>
      </c>
      <c r="C84" s="118"/>
      <c r="D84" s="119" t="s">
        <v>785</v>
      </c>
      <c r="E84" s="120"/>
      <c r="F84" s="120"/>
      <c r="G84" s="120">
        <f t="shared" si="13"/>
        <v>0</v>
      </c>
      <c r="I84" s="121">
        <f t="shared" si="14"/>
        <v>0</v>
      </c>
      <c r="P84" s="190"/>
    </row>
    <row r="85" spans="2:16">
      <c r="B85" s="110" t="s">
        <v>779</v>
      </c>
      <c r="C85" s="118"/>
      <c r="D85" s="119" t="s">
        <v>786</v>
      </c>
      <c r="E85" s="120"/>
      <c r="F85" s="120"/>
      <c r="G85" s="120">
        <f t="shared" si="13"/>
        <v>0</v>
      </c>
      <c r="I85" s="121">
        <f t="shared" si="14"/>
        <v>0</v>
      </c>
      <c r="P85" s="190"/>
    </row>
    <row r="86" spans="2:16">
      <c r="B86" s="102">
        <v>0</v>
      </c>
      <c r="C86" s="103"/>
      <c r="D86" s="122"/>
      <c r="E86" s="105"/>
      <c r="F86" s="105"/>
      <c r="G86" s="105"/>
    </row>
    <row r="87" spans="2:16">
      <c r="B87" s="102">
        <v>0</v>
      </c>
      <c r="C87" s="123" t="s">
        <v>553</v>
      </c>
      <c r="D87" s="108" t="s">
        <v>554</v>
      </c>
      <c r="E87" s="105"/>
      <c r="F87" s="105"/>
      <c r="G87" s="105"/>
    </row>
    <row r="88" spans="2:16">
      <c r="B88" s="102">
        <v>0</v>
      </c>
      <c r="C88" s="123"/>
      <c r="D88" s="108"/>
      <c r="E88" s="105"/>
      <c r="F88" s="105"/>
      <c r="G88" s="105"/>
    </row>
    <row r="89" spans="2:16">
      <c r="B89" s="102">
        <v>0</v>
      </c>
      <c r="C89" s="123" t="s">
        <v>555</v>
      </c>
      <c r="D89" s="108" t="s">
        <v>556</v>
      </c>
      <c r="E89" s="105"/>
      <c r="F89" s="105"/>
      <c r="G89" s="105"/>
    </row>
    <row r="90" spans="2:16">
      <c r="B90" s="110" t="s">
        <v>467</v>
      </c>
      <c r="C90" s="124">
        <v>111</v>
      </c>
      <c r="D90" s="112" t="s">
        <v>557</v>
      </c>
      <c r="E90" s="105">
        <f>ROUND(SUMIF('zdroj HK'!A:A,C90,'zdroj HK'!B:B),2)</f>
        <v>0</v>
      </c>
      <c r="F90" s="105"/>
      <c r="G90" s="105">
        <f t="shared" ref="G90:G92" si="15">E90+F90</f>
        <v>0</v>
      </c>
      <c r="I90" s="101" t="s">
        <v>768</v>
      </c>
    </row>
    <row r="91" spans="2:16">
      <c r="B91" s="110" t="s">
        <v>467</v>
      </c>
      <c r="C91" s="124">
        <v>112</v>
      </c>
      <c r="D91" s="112" t="s">
        <v>558</v>
      </c>
      <c r="E91" s="105">
        <f>ROUND(SUMIF('zdroj HK'!A:A,C91,'zdroj HK'!B:B),2)</f>
        <v>0</v>
      </c>
      <c r="F91" s="105"/>
      <c r="G91" s="105">
        <f t="shared" si="15"/>
        <v>0</v>
      </c>
      <c r="I91" s="101" t="s">
        <v>768</v>
      </c>
    </row>
    <row r="92" spans="2:16">
      <c r="B92" s="110" t="s">
        <v>467</v>
      </c>
      <c r="C92" s="124">
        <v>119</v>
      </c>
      <c r="D92" s="112" t="s">
        <v>559</v>
      </c>
      <c r="E92" s="105">
        <f>ROUND(SUMIF('zdroj HK'!A:A,C92,'zdroj HK'!B:B),2)</f>
        <v>0</v>
      </c>
      <c r="F92" s="105"/>
      <c r="G92" s="105">
        <f t="shared" si="15"/>
        <v>0</v>
      </c>
      <c r="I92" s="101" t="s">
        <v>768</v>
      </c>
    </row>
    <row r="93" spans="2:16">
      <c r="B93" s="102">
        <v>0</v>
      </c>
      <c r="C93" s="124"/>
      <c r="D93" s="112"/>
      <c r="E93" s="105"/>
      <c r="F93" s="105"/>
      <c r="G93" s="105"/>
    </row>
    <row r="94" spans="2:16">
      <c r="B94" s="102">
        <v>0</v>
      </c>
      <c r="C94" s="123" t="s">
        <v>560</v>
      </c>
      <c r="D94" s="108" t="s">
        <v>561</v>
      </c>
      <c r="E94" s="105"/>
      <c r="F94" s="105"/>
      <c r="G94" s="105"/>
    </row>
    <row r="95" spans="2:16">
      <c r="B95" s="110" t="s">
        <v>469</v>
      </c>
      <c r="C95" s="124">
        <v>121</v>
      </c>
      <c r="D95" s="112" t="s">
        <v>562</v>
      </c>
      <c r="E95" s="105">
        <f>ROUND(SUMIF('zdroj HK'!A:A,C95,'zdroj HK'!B:B),2)</f>
        <v>0</v>
      </c>
      <c r="F95" s="105"/>
      <c r="G95" s="105">
        <f t="shared" ref="G95:G98" si="16">E95+F95</f>
        <v>0</v>
      </c>
      <c r="I95" s="101" t="s">
        <v>768</v>
      </c>
    </row>
    <row r="96" spans="2:16">
      <c r="B96" s="110" t="s">
        <v>469</v>
      </c>
      <c r="C96" s="124">
        <v>122</v>
      </c>
      <c r="D96" s="112" t="s">
        <v>563</v>
      </c>
      <c r="E96" s="105">
        <f>ROUND(SUMIF('zdroj HK'!A:A,C96,'zdroj HK'!B:B),2)</f>
        <v>0</v>
      </c>
      <c r="F96" s="105"/>
      <c r="G96" s="105">
        <f t="shared" si="16"/>
        <v>0</v>
      </c>
      <c r="I96" s="101" t="s">
        <v>768</v>
      </c>
    </row>
    <row r="97" spans="2:9">
      <c r="B97" s="110" t="s">
        <v>471</v>
      </c>
      <c r="C97" s="124">
        <v>123</v>
      </c>
      <c r="D97" s="112" t="s">
        <v>564</v>
      </c>
      <c r="E97" s="105">
        <f>ROUND(SUMIF('zdroj HK'!A:A,C97,'zdroj HK'!B:B),2)</f>
        <v>0</v>
      </c>
      <c r="F97" s="105"/>
      <c r="G97" s="105">
        <f t="shared" si="16"/>
        <v>0</v>
      </c>
      <c r="I97" s="101" t="s">
        <v>768</v>
      </c>
    </row>
    <row r="98" spans="2:9">
      <c r="B98" s="110" t="s">
        <v>473</v>
      </c>
      <c r="C98" s="124">
        <v>124</v>
      </c>
      <c r="D98" s="112" t="s">
        <v>565</v>
      </c>
      <c r="E98" s="105">
        <f>ROUND(SUMIF('zdroj HK'!A:A,C98,'zdroj HK'!B:B),2)</f>
        <v>0</v>
      </c>
      <c r="F98" s="105"/>
      <c r="G98" s="105">
        <f t="shared" si="16"/>
        <v>0</v>
      </c>
      <c r="I98" s="101" t="s">
        <v>768</v>
      </c>
    </row>
    <row r="99" spans="2:9">
      <c r="B99" s="102">
        <v>0</v>
      </c>
      <c r="C99" s="124"/>
      <c r="D99" s="112"/>
      <c r="E99" s="105"/>
      <c r="F99" s="105"/>
      <c r="G99" s="105"/>
    </row>
    <row r="100" spans="2:9">
      <c r="B100" s="102">
        <v>0</v>
      </c>
      <c r="C100" s="123" t="s">
        <v>566</v>
      </c>
      <c r="D100" s="108" t="s">
        <v>567</v>
      </c>
      <c r="E100" s="105"/>
      <c r="F100" s="105"/>
      <c r="G100" s="105"/>
    </row>
    <row r="101" spans="2:9">
      <c r="B101" s="110" t="s">
        <v>475</v>
      </c>
      <c r="C101" s="124">
        <v>131</v>
      </c>
      <c r="D101" s="112" t="s">
        <v>568</v>
      </c>
      <c r="E101" s="105">
        <f>ROUND(SUMIF('zdroj HK'!A:A,C101,'zdroj HK'!B:B),2)</f>
        <v>0</v>
      </c>
      <c r="F101" s="105"/>
      <c r="G101" s="105">
        <f t="shared" ref="G101:G103" si="17">E101+F101</f>
        <v>0</v>
      </c>
      <c r="I101" s="101" t="s">
        <v>768</v>
      </c>
    </row>
    <row r="102" spans="2:9">
      <c r="B102" s="110" t="s">
        <v>475</v>
      </c>
      <c r="C102" s="124">
        <v>132</v>
      </c>
      <c r="D102" s="112" t="s">
        <v>569</v>
      </c>
      <c r="E102" s="105">
        <f>ROUND(SUMIF('zdroj HK'!A:A,C102,'zdroj HK'!B:B),2)</f>
        <v>0</v>
      </c>
      <c r="F102" s="105"/>
      <c r="G102" s="105">
        <f t="shared" si="17"/>
        <v>0</v>
      </c>
      <c r="I102" s="101" t="s">
        <v>768</v>
      </c>
    </row>
    <row r="103" spans="2:9">
      <c r="B103" s="110" t="s">
        <v>475</v>
      </c>
      <c r="C103" s="124">
        <v>139</v>
      </c>
      <c r="D103" s="112" t="s">
        <v>570</v>
      </c>
      <c r="E103" s="105">
        <f>ROUND(SUMIF('zdroj HK'!A:A,C103,'zdroj HK'!B:B),2)</f>
        <v>0</v>
      </c>
      <c r="F103" s="105"/>
      <c r="G103" s="105">
        <f t="shared" si="17"/>
        <v>0</v>
      </c>
      <c r="I103" s="101" t="s">
        <v>768</v>
      </c>
    </row>
    <row r="104" spans="2:9">
      <c r="B104" s="102">
        <v>0</v>
      </c>
      <c r="C104" s="124"/>
      <c r="D104" s="112"/>
      <c r="E104" s="105"/>
      <c r="F104" s="105"/>
      <c r="G104" s="105"/>
    </row>
    <row r="105" spans="2:9">
      <c r="B105" s="102">
        <v>0</v>
      </c>
      <c r="C105" s="123" t="s">
        <v>571</v>
      </c>
      <c r="D105" s="108" t="s">
        <v>572</v>
      </c>
      <c r="E105" s="105"/>
      <c r="F105" s="105"/>
      <c r="G105" s="105"/>
    </row>
    <row r="106" spans="2:9">
      <c r="B106" s="110" t="s">
        <v>468</v>
      </c>
      <c r="C106" s="124">
        <v>191</v>
      </c>
      <c r="D106" s="112" t="s">
        <v>573</v>
      </c>
      <c r="E106" s="105">
        <f>ROUND(SUMIF('zdroj HK'!A:A,C106,'zdroj HK'!B:B),2)</f>
        <v>0</v>
      </c>
      <c r="F106" s="105"/>
      <c r="G106" s="105">
        <f t="shared" ref="G106:G111" si="18">E106+F106</f>
        <v>0</v>
      </c>
      <c r="I106" s="101" t="s">
        <v>768</v>
      </c>
    </row>
    <row r="107" spans="2:9">
      <c r="B107" s="110" t="s">
        <v>470</v>
      </c>
      <c r="C107" s="124">
        <v>192</v>
      </c>
      <c r="D107" s="112" t="s">
        <v>574</v>
      </c>
      <c r="E107" s="105">
        <f>ROUND(SUMIF('zdroj HK'!A:A,C107,'zdroj HK'!B:B),2)</f>
        <v>0</v>
      </c>
      <c r="F107" s="105"/>
      <c r="G107" s="105">
        <f t="shared" si="18"/>
        <v>0</v>
      </c>
      <c r="I107" s="101" t="s">
        <v>768</v>
      </c>
    </row>
    <row r="108" spans="2:9">
      <c r="B108" s="110" t="s">
        <v>470</v>
      </c>
      <c r="C108" s="124">
        <v>193</v>
      </c>
      <c r="D108" s="112" t="s">
        <v>575</v>
      </c>
      <c r="E108" s="105">
        <f>ROUND(SUMIF('zdroj HK'!A:A,C108,'zdroj HK'!B:B),2)</f>
        <v>0</v>
      </c>
      <c r="F108" s="105"/>
      <c r="G108" s="105">
        <f t="shared" si="18"/>
        <v>0</v>
      </c>
      <c r="I108" s="101" t="s">
        <v>768</v>
      </c>
    </row>
    <row r="109" spans="2:9">
      <c r="B109" s="110" t="s">
        <v>472</v>
      </c>
      <c r="C109" s="124">
        <v>194</v>
      </c>
      <c r="D109" s="112" t="s">
        <v>576</v>
      </c>
      <c r="E109" s="105">
        <f>ROUND(SUMIF('zdroj HK'!A:A,C109,'zdroj HK'!B:B),2)</f>
        <v>0</v>
      </c>
      <c r="F109" s="105"/>
      <c r="G109" s="105">
        <f t="shared" si="18"/>
        <v>0</v>
      </c>
      <c r="I109" s="101" t="s">
        <v>768</v>
      </c>
    </row>
    <row r="110" spans="2:9">
      <c r="B110" s="110" t="s">
        <v>474</v>
      </c>
      <c r="C110" s="124">
        <v>195</v>
      </c>
      <c r="D110" s="112" t="s">
        <v>577</v>
      </c>
      <c r="E110" s="105">
        <f>ROUND(SUMIF('zdroj HK'!A:A,C110,'zdroj HK'!B:B),2)</f>
        <v>0</v>
      </c>
      <c r="F110" s="105"/>
      <c r="G110" s="105">
        <f t="shared" si="18"/>
        <v>0</v>
      </c>
      <c r="I110" s="101" t="s">
        <v>768</v>
      </c>
    </row>
    <row r="111" spans="2:9">
      <c r="B111" s="110" t="s">
        <v>476</v>
      </c>
      <c r="C111" s="124">
        <v>196</v>
      </c>
      <c r="D111" s="112" t="s">
        <v>578</v>
      </c>
      <c r="E111" s="105">
        <f>ROUND(SUMIF('zdroj HK'!A:A,C111,'zdroj HK'!B:B),2)</f>
        <v>0</v>
      </c>
      <c r="F111" s="105"/>
      <c r="G111" s="105">
        <f t="shared" si="18"/>
        <v>0</v>
      </c>
      <c r="I111" s="101" t="s">
        <v>768</v>
      </c>
    </row>
    <row r="112" spans="2:9">
      <c r="B112" s="102">
        <v>0</v>
      </c>
      <c r="C112" s="103"/>
      <c r="D112" s="104"/>
      <c r="E112" s="105"/>
      <c r="F112" s="105"/>
      <c r="G112" s="105"/>
    </row>
    <row r="113" spans="2:16">
      <c r="B113" s="102">
        <v>0</v>
      </c>
      <c r="C113" s="123" t="s">
        <v>579</v>
      </c>
      <c r="D113" s="108" t="s">
        <v>580</v>
      </c>
      <c r="E113" s="105"/>
      <c r="F113" s="105"/>
      <c r="G113" s="105"/>
    </row>
    <row r="114" spans="2:16">
      <c r="B114" s="102">
        <v>0</v>
      </c>
      <c r="C114" s="123"/>
      <c r="D114" s="108"/>
      <c r="E114" s="105"/>
      <c r="F114" s="105"/>
      <c r="G114" s="105"/>
    </row>
    <row r="115" spans="2:16">
      <c r="B115" s="102">
        <v>0</v>
      </c>
      <c r="C115" s="123" t="s">
        <v>581</v>
      </c>
      <c r="D115" s="108" t="s">
        <v>582</v>
      </c>
      <c r="E115" s="105"/>
      <c r="F115" s="105"/>
      <c r="G115" s="105"/>
    </row>
    <row r="116" spans="2:16">
      <c r="B116" s="110" t="s">
        <v>477</v>
      </c>
      <c r="C116" s="124">
        <v>211</v>
      </c>
      <c r="D116" s="112" t="s">
        <v>583</v>
      </c>
      <c r="E116" s="105">
        <f>ROUND(SUMIF('zdroj HK'!A:A,C116,'zdroj HK'!B:B),2)</f>
        <v>0</v>
      </c>
      <c r="F116" s="105"/>
      <c r="G116" s="105">
        <f t="shared" ref="G116:G117" si="19">E116+F116</f>
        <v>0</v>
      </c>
      <c r="I116" s="101" t="s">
        <v>768</v>
      </c>
    </row>
    <row r="117" spans="2:16">
      <c r="B117" s="110" t="s">
        <v>477</v>
      </c>
      <c r="C117" s="124">
        <v>213</v>
      </c>
      <c r="D117" s="112" t="s">
        <v>584</v>
      </c>
      <c r="E117" s="105">
        <f>ROUND(SUMIF('zdroj HK'!A:A,C117,'zdroj HK'!B:B),2)</f>
        <v>0</v>
      </c>
      <c r="F117" s="105"/>
      <c r="G117" s="105">
        <f t="shared" si="19"/>
        <v>0</v>
      </c>
      <c r="I117" s="101" t="s">
        <v>768</v>
      </c>
    </row>
    <row r="118" spans="2:16">
      <c r="B118" s="102">
        <v>0</v>
      </c>
      <c r="C118" s="124"/>
      <c r="D118" s="112"/>
      <c r="E118" s="105"/>
      <c r="F118" s="105"/>
      <c r="G118" s="105"/>
    </row>
    <row r="119" spans="2:16">
      <c r="B119" s="102">
        <v>0</v>
      </c>
      <c r="C119" s="123" t="s">
        <v>585</v>
      </c>
      <c r="D119" s="108" t="s">
        <v>586</v>
      </c>
      <c r="E119" s="105"/>
      <c r="F119" s="105"/>
      <c r="G119" s="105"/>
    </row>
    <row r="120" spans="2:16">
      <c r="B120" s="102">
        <v>0</v>
      </c>
      <c r="C120" s="125">
        <v>221</v>
      </c>
      <c r="D120" s="116" t="s">
        <v>587</v>
      </c>
      <c r="E120" s="117">
        <f>ROUND(SUMIF('zdroj HK'!A:A,C120,'zdroj HK'!B:B),2)</f>
        <v>0</v>
      </c>
      <c r="F120" s="117">
        <f>-E120</f>
        <v>0</v>
      </c>
      <c r="G120" s="117"/>
      <c r="I120" s="101" t="s">
        <v>768</v>
      </c>
    </row>
    <row r="121" spans="2:16">
      <c r="B121" s="110" t="s">
        <v>478</v>
      </c>
      <c r="C121" s="126"/>
      <c r="D121" s="119" t="s">
        <v>789</v>
      </c>
      <c r="E121" s="120"/>
      <c r="F121" s="120">
        <f>-F120</f>
        <v>0</v>
      </c>
      <c r="G121" s="120">
        <f t="shared" ref="G121:G122" si="20">E121+F121</f>
        <v>0</v>
      </c>
      <c r="I121" s="121">
        <f>$E$120</f>
        <v>0</v>
      </c>
      <c r="P121" s="190"/>
    </row>
    <row r="122" spans="2:16">
      <c r="B122" s="110" t="s">
        <v>787</v>
      </c>
      <c r="C122" s="126"/>
      <c r="D122" s="119" t="s">
        <v>788</v>
      </c>
      <c r="E122" s="120"/>
      <c r="F122" s="120"/>
      <c r="G122" s="120">
        <f t="shared" si="20"/>
        <v>0</v>
      </c>
      <c r="I122" s="121">
        <f>$E$120</f>
        <v>0</v>
      </c>
      <c r="P122" s="190"/>
    </row>
    <row r="123" spans="2:16">
      <c r="B123" s="102">
        <v>0</v>
      </c>
      <c r="C123" s="127"/>
      <c r="D123" s="112"/>
      <c r="E123" s="105"/>
      <c r="F123" s="105"/>
      <c r="G123" s="105"/>
    </row>
    <row r="124" spans="2:16">
      <c r="B124" s="102">
        <v>0</v>
      </c>
      <c r="C124" s="123" t="s">
        <v>588</v>
      </c>
      <c r="D124" s="108" t="s">
        <v>589</v>
      </c>
      <c r="E124" s="105"/>
      <c r="F124" s="105"/>
      <c r="G124" s="105"/>
    </row>
    <row r="125" spans="2:16">
      <c r="B125" s="110" t="s">
        <v>176</v>
      </c>
      <c r="C125" s="124">
        <v>231</v>
      </c>
      <c r="D125" s="112" t="s">
        <v>590</v>
      </c>
      <c r="E125" s="105">
        <f>ROUND(SUMIF('zdroj HK'!A:A,C125,'zdroj HK'!B:B),2)</f>
        <v>0</v>
      </c>
      <c r="F125" s="105"/>
      <c r="G125" s="105">
        <f t="shared" ref="G125:G126" si="21">E125+F125</f>
        <v>0</v>
      </c>
      <c r="I125" s="101" t="s">
        <v>768</v>
      </c>
    </row>
    <row r="126" spans="2:16">
      <c r="B126" s="110" t="s">
        <v>176</v>
      </c>
      <c r="C126" s="124">
        <v>232</v>
      </c>
      <c r="D126" s="112" t="s">
        <v>591</v>
      </c>
      <c r="E126" s="105">
        <f>ROUND(SUMIF('zdroj HK'!A:A,C126,'zdroj HK'!B:B),2)</f>
        <v>0</v>
      </c>
      <c r="F126" s="105"/>
      <c r="G126" s="105">
        <f t="shared" si="21"/>
        <v>0</v>
      </c>
      <c r="I126" s="101" t="s">
        <v>768</v>
      </c>
    </row>
    <row r="127" spans="2:16">
      <c r="B127" s="102">
        <v>0</v>
      </c>
      <c r="C127" s="124"/>
      <c r="D127" s="112"/>
      <c r="E127" s="105"/>
      <c r="F127" s="105"/>
      <c r="G127" s="105"/>
    </row>
    <row r="128" spans="2:16">
      <c r="B128" s="102">
        <v>0</v>
      </c>
      <c r="C128" s="123" t="s">
        <v>592</v>
      </c>
      <c r="D128" s="108" t="s">
        <v>593</v>
      </c>
      <c r="E128" s="105"/>
      <c r="F128" s="105"/>
      <c r="G128" s="105"/>
    </row>
    <row r="129" spans="2:16">
      <c r="B129" s="110" t="s">
        <v>177</v>
      </c>
      <c r="C129" s="124">
        <v>241</v>
      </c>
      <c r="D129" s="112" t="s">
        <v>594</v>
      </c>
      <c r="E129" s="105">
        <f>ROUND(SUMIF('zdroj HK'!A:A,C129,'zdroj HK'!B:B),2)</f>
        <v>0</v>
      </c>
      <c r="F129" s="105"/>
      <c r="G129" s="105">
        <f t="shared" ref="G129:G130" si="22">E129+F129</f>
        <v>0</v>
      </c>
      <c r="I129" s="101" t="s">
        <v>768</v>
      </c>
    </row>
    <row r="130" spans="2:16">
      <c r="B130" s="110" t="s">
        <v>177</v>
      </c>
      <c r="C130" s="124">
        <v>249</v>
      </c>
      <c r="D130" s="112" t="s">
        <v>595</v>
      </c>
      <c r="E130" s="105">
        <f>ROUND(SUMIF('zdroj HK'!A:A,C130,'zdroj HK'!B:B),2)</f>
        <v>0</v>
      </c>
      <c r="F130" s="285"/>
      <c r="G130" s="105">
        <f t="shared" si="22"/>
        <v>0</v>
      </c>
      <c r="I130" s="101" t="s">
        <v>768</v>
      </c>
      <c r="P130" s="190"/>
    </row>
    <row r="131" spans="2:16">
      <c r="B131" s="102">
        <v>0</v>
      </c>
      <c r="C131" s="124"/>
      <c r="D131" s="112"/>
      <c r="E131" s="105"/>
      <c r="F131" s="105"/>
      <c r="G131" s="105"/>
    </row>
    <row r="132" spans="2:16">
      <c r="B132" s="102">
        <v>0</v>
      </c>
      <c r="C132" s="123" t="s">
        <v>596</v>
      </c>
      <c r="D132" s="108" t="s">
        <v>597</v>
      </c>
      <c r="E132" s="105"/>
      <c r="F132" s="105"/>
      <c r="G132" s="105"/>
    </row>
    <row r="133" spans="2:16">
      <c r="B133" s="110" t="s">
        <v>479</v>
      </c>
      <c r="C133" s="124">
        <v>251</v>
      </c>
      <c r="D133" s="112" t="s">
        <v>598</v>
      </c>
      <c r="E133" s="105">
        <f>ROUND(SUMIF('zdroj HK'!A:A,C133,'zdroj HK'!B:B),2)</f>
        <v>0</v>
      </c>
      <c r="F133" s="105"/>
      <c r="G133" s="105">
        <f t="shared" ref="G133:G138" si="23">E133+F133</f>
        <v>0</v>
      </c>
      <c r="I133" s="101" t="s">
        <v>768</v>
      </c>
    </row>
    <row r="134" spans="2:16">
      <c r="B134" s="110" t="s">
        <v>479</v>
      </c>
      <c r="C134" s="124">
        <v>253</v>
      </c>
      <c r="D134" s="112" t="s">
        <v>599</v>
      </c>
      <c r="E134" s="105">
        <f>ROUND(SUMIF('zdroj HK'!A:A,C134,'zdroj HK'!B:B),2)</f>
        <v>0</v>
      </c>
      <c r="F134" s="105"/>
      <c r="G134" s="105">
        <f t="shared" si="23"/>
        <v>0</v>
      </c>
      <c r="I134" s="101" t="s">
        <v>768</v>
      </c>
    </row>
    <row r="135" spans="2:16">
      <c r="B135" s="110" t="s">
        <v>479</v>
      </c>
      <c r="C135" s="124">
        <v>255</v>
      </c>
      <c r="D135" s="112" t="s">
        <v>600</v>
      </c>
      <c r="E135" s="105">
        <f>ROUND(SUMIF('zdroj HK'!A:A,C135,'zdroj HK'!B:B),2)</f>
        <v>0</v>
      </c>
      <c r="F135" s="105"/>
      <c r="G135" s="105">
        <f t="shared" si="23"/>
        <v>0</v>
      </c>
      <c r="I135" s="101" t="s">
        <v>768</v>
      </c>
    </row>
    <row r="136" spans="2:16">
      <c r="B136" s="110" t="s">
        <v>479</v>
      </c>
      <c r="C136" s="124">
        <v>256</v>
      </c>
      <c r="D136" s="112" t="s">
        <v>601</v>
      </c>
      <c r="E136" s="105">
        <f>ROUND(SUMIF('zdroj HK'!A:A,C136,'zdroj HK'!B:B),2)</f>
        <v>0</v>
      </c>
      <c r="F136" s="105"/>
      <c r="G136" s="105">
        <f t="shared" si="23"/>
        <v>0</v>
      </c>
      <c r="I136" s="101" t="s">
        <v>768</v>
      </c>
    </row>
    <row r="137" spans="2:16">
      <c r="B137" s="110" t="s">
        <v>479</v>
      </c>
      <c r="C137" s="124">
        <v>257</v>
      </c>
      <c r="D137" s="112" t="s">
        <v>602</v>
      </c>
      <c r="E137" s="105">
        <f>ROUND(SUMIF('zdroj HK'!A:A,C137,'zdroj HK'!B:B),2)</f>
        <v>0</v>
      </c>
      <c r="F137" s="105"/>
      <c r="G137" s="105">
        <f t="shared" si="23"/>
        <v>0</v>
      </c>
      <c r="I137" s="101" t="s">
        <v>768</v>
      </c>
    </row>
    <row r="138" spans="2:16">
      <c r="B138" s="110" t="s">
        <v>480</v>
      </c>
      <c r="C138" s="124">
        <v>259</v>
      </c>
      <c r="D138" s="112" t="s">
        <v>603</v>
      </c>
      <c r="E138" s="105">
        <f>ROUND(SUMIF('zdroj HK'!A:A,C138,'zdroj HK'!B:B),2)</f>
        <v>0</v>
      </c>
      <c r="F138" s="105"/>
      <c r="G138" s="105">
        <f t="shared" si="23"/>
        <v>0</v>
      </c>
      <c r="I138" s="101" t="s">
        <v>768</v>
      </c>
    </row>
    <row r="139" spans="2:16">
      <c r="B139" s="102">
        <v>0</v>
      </c>
      <c r="C139" s="124"/>
      <c r="D139" s="112"/>
      <c r="E139" s="105"/>
      <c r="F139" s="105"/>
      <c r="G139" s="105"/>
    </row>
    <row r="140" spans="2:16">
      <c r="B140" s="102">
        <v>0</v>
      </c>
      <c r="C140" s="123" t="s">
        <v>604</v>
      </c>
      <c r="D140" s="108" t="s">
        <v>605</v>
      </c>
      <c r="E140" s="105"/>
      <c r="F140" s="105"/>
      <c r="G140" s="105"/>
    </row>
    <row r="141" spans="2:16">
      <c r="B141" s="110" t="s">
        <v>478</v>
      </c>
      <c r="C141" s="127">
        <v>261</v>
      </c>
      <c r="D141" s="112" t="s">
        <v>606</v>
      </c>
      <c r="E141" s="105">
        <f>ROUND(SUMIF('zdroj HK'!A:A,C141,'zdroj HK'!B:B),2)</f>
        <v>0</v>
      </c>
      <c r="F141" s="105"/>
      <c r="G141" s="105">
        <f t="shared" ref="G141" si="24">E141+F141</f>
        <v>0</v>
      </c>
      <c r="I141" s="101" t="s">
        <v>768</v>
      </c>
    </row>
    <row r="142" spans="2:16">
      <c r="B142" s="102">
        <v>0</v>
      </c>
      <c r="C142" s="103"/>
      <c r="D142" s="128"/>
      <c r="E142" s="105"/>
      <c r="F142" s="105"/>
      <c r="G142" s="105"/>
    </row>
    <row r="143" spans="2:16">
      <c r="B143" s="102">
        <v>0</v>
      </c>
      <c r="C143" s="123" t="s">
        <v>607</v>
      </c>
      <c r="D143" s="108" t="s">
        <v>608</v>
      </c>
      <c r="E143" s="105"/>
      <c r="F143" s="105"/>
      <c r="G143" s="105"/>
    </row>
    <row r="144" spans="2:16">
      <c r="B144" s="102">
        <v>0</v>
      </c>
      <c r="C144" s="125">
        <v>291</v>
      </c>
      <c r="D144" s="116" t="s">
        <v>608</v>
      </c>
      <c r="E144" s="117">
        <f>ROUND(SUMIF('zdroj HK'!A:A,C144,'zdroj HK'!B:B),2)</f>
        <v>0</v>
      </c>
      <c r="F144" s="117"/>
      <c r="G144" s="117"/>
      <c r="I144" s="101" t="s">
        <v>768</v>
      </c>
    </row>
    <row r="145" spans="2:19">
      <c r="B145" s="110" t="s">
        <v>790</v>
      </c>
      <c r="C145" s="126"/>
      <c r="D145" s="119" t="s">
        <v>792</v>
      </c>
      <c r="E145" s="120"/>
      <c r="F145" s="120"/>
      <c r="G145" s="120">
        <f t="shared" ref="G145:G146" si="25">E145+F145</f>
        <v>0</v>
      </c>
      <c r="I145" s="121">
        <f>$E$144</f>
        <v>0</v>
      </c>
      <c r="P145" s="190"/>
    </row>
    <row r="146" spans="2:19">
      <c r="B146" s="110" t="s">
        <v>791</v>
      </c>
      <c r="C146" s="126"/>
      <c r="D146" s="119" t="s">
        <v>793</v>
      </c>
      <c r="E146" s="120"/>
      <c r="F146" s="120"/>
      <c r="G146" s="120">
        <f t="shared" si="25"/>
        <v>0</v>
      </c>
      <c r="I146" s="121">
        <f>$E$144</f>
        <v>0</v>
      </c>
      <c r="P146" s="190"/>
    </row>
    <row r="147" spans="2:19">
      <c r="B147" s="102">
        <v>0</v>
      </c>
      <c r="C147" s="103"/>
      <c r="D147" s="122"/>
      <c r="E147" s="105"/>
      <c r="F147" s="105"/>
      <c r="G147" s="105"/>
    </row>
    <row r="148" spans="2:19">
      <c r="B148" s="102">
        <v>0</v>
      </c>
      <c r="C148" s="123" t="s">
        <v>609</v>
      </c>
      <c r="D148" s="95" t="s">
        <v>610</v>
      </c>
      <c r="E148" s="105"/>
      <c r="F148" s="105"/>
      <c r="G148" s="105"/>
    </row>
    <row r="149" spans="2:19">
      <c r="B149" s="102">
        <v>0</v>
      </c>
      <c r="C149" s="122"/>
      <c r="D149" s="112"/>
      <c r="E149" s="105"/>
      <c r="F149" s="105"/>
      <c r="G149" s="105"/>
    </row>
    <row r="150" spans="2:19">
      <c r="B150" s="102">
        <v>0</v>
      </c>
      <c r="C150" s="123" t="s">
        <v>611</v>
      </c>
      <c r="D150" s="108" t="s">
        <v>612</v>
      </c>
      <c r="E150" s="105"/>
      <c r="F150" s="105"/>
      <c r="G150" s="105"/>
    </row>
    <row r="151" spans="2:19">
      <c r="B151" s="102">
        <v>0</v>
      </c>
      <c r="C151" s="129">
        <v>311</v>
      </c>
      <c r="D151" s="116" t="s">
        <v>613</v>
      </c>
      <c r="E151" s="117">
        <f>ROUND(SUMIF('zdroj HK'!A:A,C151,'zdroj HK'!B:B),2)</f>
        <v>7923.72</v>
      </c>
      <c r="F151" s="117">
        <f>-E151</f>
        <v>-7923.72</v>
      </c>
      <c r="G151" s="117"/>
      <c r="I151" s="101" t="s">
        <v>768</v>
      </c>
    </row>
    <row r="152" spans="2:19">
      <c r="B152" s="110" t="s">
        <v>795</v>
      </c>
      <c r="C152" s="130"/>
      <c r="D152" s="119" t="s">
        <v>796</v>
      </c>
      <c r="E152" s="120"/>
      <c r="F152" s="120">
        <f>-F151+R152+S152</f>
        <v>24079.440000000002</v>
      </c>
      <c r="G152" s="120">
        <f t="shared" ref="G152:G153" si="26">E152+F152</f>
        <v>24079.440000000002</v>
      </c>
      <c r="I152" s="121">
        <f>$E$151</f>
        <v>7923.72</v>
      </c>
      <c r="P152" s="190"/>
      <c r="R152" s="543">
        <f>-'311 ageing'!O16</f>
        <v>2345.38</v>
      </c>
      <c r="S152" s="106">
        <v>13810.34</v>
      </c>
    </row>
    <row r="153" spans="2:19">
      <c r="B153" s="110" t="s">
        <v>794</v>
      </c>
      <c r="C153" s="130"/>
      <c r="D153" s="119" t="s">
        <v>797</v>
      </c>
      <c r="E153" s="120"/>
      <c r="F153" s="120"/>
      <c r="G153" s="120">
        <f t="shared" si="26"/>
        <v>0</v>
      </c>
      <c r="I153" s="121">
        <f>$E$151</f>
        <v>7923.72</v>
      </c>
      <c r="P153" s="190"/>
    </row>
    <row r="154" spans="2:19">
      <c r="B154" s="102">
        <v>0</v>
      </c>
      <c r="C154" s="129">
        <v>312</v>
      </c>
      <c r="D154" s="116" t="s">
        <v>614</v>
      </c>
      <c r="E154" s="117">
        <f>ROUND(SUMIF('zdroj HK'!A:A,C154,'zdroj HK'!B:B),2)</f>
        <v>0</v>
      </c>
      <c r="F154" s="117"/>
      <c r="G154" s="117"/>
      <c r="I154" s="101" t="s">
        <v>768</v>
      </c>
    </row>
    <row r="155" spans="2:19">
      <c r="B155" s="110" t="s">
        <v>795</v>
      </c>
      <c r="C155" s="130"/>
      <c r="D155" s="119" t="s">
        <v>798</v>
      </c>
      <c r="E155" s="120"/>
      <c r="F155" s="120"/>
      <c r="G155" s="120">
        <f t="shared" ref="G155:G156" si="27">E155+F155</f>
        <v>0</v>
      </c>
      <c r="I155" s="121">
        <f>$E$154</f>
        <v>0</v>
      </c>
      <c r="P155" s="190"/>
    </row>
    <row r="156" spans="2:19">
      <c r="B156" s="110" t="s">
        <v>794</v>
      </c>
      <c r="C156" s="130"/>
      <c r="D156" s="119" t="s">
        <v>799</v>
      </c>
      <c r="E156" s="120"/>
      <c r="F156" s="120"/>
      <c r="G156" s="120">
        <f t="shared" si="27"/>
        <v>0</v>
      </c>
      <c r="I156" s="121">
        <f>$E$154</f>
        <v>0</v>
      </c>
      <c r="P156" s="190"/>
    </row>
    <row r="157" spans="2:19">
      <c r="B157" s="102">
        <v>0</v>
      </c>
      <c r="C157" s="129">
        <v>313</v>
      </c>
      <c r="D157" s="116" t="s">
        <v>615</v>
      </c>
      <c r="E157" s="117">
        <f>ROUND(SUMIF('zdroj HK'!A:A,C157,'zdroj HK'!B:B),2)</f>
        <v>0</v>
      </c>
      <c r="F157" s="117"/>
      <c r="G157" s="117"/>
      <c r="I157" s="101" t="s">
        <v>768</v>
      </c>
    </row>
    <row r="158" spans="2:19">
      <c r="B158" s="110" t="s">
        <v>795</v>
      </c>
      <c r="C158" s="130"/>
      <c r="D158" s="119" t="s">
        <v>800</v>
      </c>
      <c r="E158" s="120"/>
      <c r="F158" s="120"/>
      <c r="G158" s="120">
        <f t="shared" ref="G158:G159" si="28">E158+F158</f>
        <v>0</v>
      </c>
      <c r="I158" s="121">
        <f>$E$157</f>
        <v>0</v>
      </c>
      <c r="P158" s="190"/>
    </row>
    <row r="159" spans="2:19">
      <c r="B159" s="110" t="s">
        <v>794</v>
      </c>
      <c r="C159" s="130"/>
      <c r="D159" s="119" t="s">
        <v>801</v>
      </c>
      <c r="E159" s="120"/>
      <c r="F159" s="120"/>
      <c r="G159" s="120">
        <f t="shared" si="28"/>
        <v>0</v>
      </c>
      <c r="I159" s="121">
        <f>$E$157</f>
        <v>0</v>
      </c>
      <c r="P159" s="190"/>
    </row>
    <row r="160" spans="2:19">
      <c r="B160" s="102">
        <v>0</v>
      </c>
      <c r="C160" s="129">
        <v>314</v>
      </c>
      <c r="D160" s="116" t="s">
        <v>616</v>
      </c>
      <c r="E160" s="117">
        <f>ROUND(SUMIF('zdroj HK'!A:A,C160,'zdroj HK'!B:B),2)</f>
        <v>0</v>
      </c>
      <c r="F160" s="117">
        <f>-E160</f>
        <v>0</v>
      </c>
      <c r="G160" s="117"/>
      <c r="I160" s="101" t="s">
        <v>768</v>
      </c>
    </row>
    <row r="161" spans="2:18">
      <c r="B161" s="110" t="s">
        <v>809</v>
      </c>
      <c r="C161" s="130"/>
      <c r="D161" s="119" t="s">
        <v>804</v>
      </c>
      <c r="E161" s="120"/>
      <c r="F161" s="120"/>
      <c r="G161" s="120">
        <f t="shared" ref="G161:G163" si="29">E161+F161</f>
        <v>0</v>
      </c>
      <c r="I161" s="121">
        <f>$E$160</f>
        <v>0</v>
      </c>
      <c r="P161" s="190"/>
    </row>
    <row r="162" spans="2:18">
      <c r="B162" s="110" t="s">
        <v>794</v>
      </c>
      <c r="C162" s="130"/>
      <c r="D162" s="119" t="s">
        <v>805</v>
      </c>
      <c r="E162" s="120"/>
      <c r="F162" s="120"/>
      <c r="G162" s="120">
        <f t="shared" si="29"/>
        <v>0</v>
      </c>
      <c r="I162" s="121">
        <f t="shared" ref="I162:I163" si="30">$E$160</f>
        <v>0</v>
      </c>
      <c r="P162" s="190"/>
    </row>
    <row r="163" spans="2:18">
      <c r="B163" s="110" t="s">
        <v>795</v>
      </c>
      <c r="C163" s="130"/>
      <c r="D163" s="119" t="s">
        <v>806</v>
      </c>
      <c r="E163" s="120"/>
      <c r="F163" s="120">
        <f>-F160</f>
        <v>0</v>
      </c>
      <c r="G163" s="120">
        <f t="shared" si="29"/>
        <v>0</v>
      </c>
      <c r="I163" s="121">
        <f t="shared" si="30"/>
        <v>0</v>
      </c>
      <c r="P163" s="190"/>
    </row>
    <row r="164" spans="2:18">
      <c r="B164" s="102">
        <v>0</v>
      </c>
      <c r="C164" s="125">
        <v>315</v>
      </c>
      <c r="D164" s="116" t="s">
        <v>617</v>
      </c>
      <c r="E164" s="117">
        <f>ROUND(SUMIF('zdroj HK'!A:A,C164,'zdroj HK'!B:B),2)</f>
        <v>531.33000000000004</v>
      </c>
      <c r="F164" s="117"/>
      <c r="G164" s="117"/>
      <c r="I164" s="101" t="s">
        <v>768</v>
      </c>
    </row>
    <row r="165" spans="2:18">
      <c r="B165" s="110" t="s">
        <v>807</v>
      </c>
      <c r="C165" s="126"/>
      <c r="D165" s="119" t="s">
        <v>802</v>
      </c>
      <c r="E165" s="120"/>
      <c r="F165" s="120">
        <v>531.33000000000004</v>
      </c>
      <c r="G165" s="120">
        <f t="shared" ref="G165:G166" si="31">E165+F165</f>
        <v>531.33000000000004</v>
      </c>
      <c r="I165" s="121">
        <f>$E$164</f>
        <v>531.33000000000004</v>
      </c>
      <c r="P165" s="190"/>
    </row>
    <row r="166" spans="2:18">
      <c r="B166" s="110" t="s">
        <v>808</v>
      </c>
      <c r="C166" s="126"/>
      <c r="D166" s="119" t="s">
        <v>803</v>
      </c>
      <c r="E166" s="120"/>
      <c r="F166" s="120"/>
      <c r="G166" s="120">
        <f t="shared" si="31"/>
        <v>0</v>
      </c>
      <c r="I166" s="121">
        <f>$E$164</f>
        <v>531.33000000000004</v>
      </c>
      <c r="P166" s="190"/>
    </row>
    <row r="167" spans="2:18">
      <c r="B167" s="102">
        <v>0</v>
      </c>
      <c r="C167" s="127"/>
      <c r="D167" s="112"/>
      <c r="E167" s="105"/>
      <c r="F167" s="105"/>
      <c r="G167" s="105"/>
    </row>
    <row r="168" spans="2:18">
      <c r="B168" s="102">
        <v>0</v>
      </c>
      <c r="C168" s="123" t="s">
        <v>618</v>
      </c>
      <c r="D168" s="108" t="s">
        <v>619</v>
      </c>
      <c r="E168" s="105"/>
      <c r="F168" s="105"/>
      <c r="G168" s="105"/>
    </row>
    <row r="169" spans="2:18">
      <c r="B169" s="110" t="s">
        <v>159</v>
      </c>
      <c r="C169" s="124">
        <v>321</v>
      </c>
      <c r="D169" s="450" t="s">
        <v>620</v>
      </c>
      <c r="E169" s="105">
        <f>ROUND(SUMIF('zdroj HK'!A:A,C169,'zdroj HK'!B:B),2)</f>
        <v>-2835405.14</v>
      </c>
      <c r="F169" s="105">
        <f>+R169</f>
        <v>-2345.38</v>
      </c>
      <c r="G169" s="105">
        <f t="shared" ref="G169:G174" si="32">E169+F169</f>
        <v>-2837750.52</v>
      </c>
      <c r="I169" s="101" t="s">
        <v>768</v>
      </c>
      <c r="R169" s="543">
        <f>-R152</f>
        <v>-2345.38</v>
      </c>
    </row>
    <row r="170" spans="2:18">
      <c r="B170" s="110" t="s">
        <v>159</v>
      </c>
      <c r="C170" s="124">
        <v>322</v>
      </c>
      <c r="D170" s="112" t="s">
        <v>621</v>
      </c>
      <c r="E170" s="105">
        <f>ROUND(SUMIF('zdroj HK'!A:A,C170,'zdroj HK'!B:B),2)</f>
        <v>0</v>
      </c>
      <c r="F170" s="105"/>
      <c r="G170" s="105">
        <f t="shared" si="32"/>
        <v>0</v>
      </c>
      <c r="I170" s="101" t="s">
        <v>768</v>
      </c>
    </row>
    <row r="171" spans="2:18">
      <c r="B171" s="110" t="s">
        <v>144</v>
      </c>
      <c r="C171" s="124">
        <v>323</v>
      </c>
      <c r="D171" s="112" t="s">
        <v>622</v>
      </c>
      <c r="E171" s="105">
        <f>ROUND(SUMIF('zdroj HK'!A:A,C171,'zdroj HK'!B:B),2)</f>
        <v>-20260.490000000002</v>
      </c>
      <c r="F171" s="285"/>
      <c r="G171" s="105">
        <f t="shared" si="32"/>
        <v>-20260.490000000002</v>
      </c>
      <c r="I171" s="101" t="s">
        <v>768</v>
      </c>
      <c r="P171" s="287"/>
      <c r="Q171" s="149"/>
    </row>
    <row r="172" spans="2:18">
      <c r="B172" s="110" t="s">
        <v>159</v>
      </c>
      <c r="C172" s="124">
        <v>324</v>
      </c>
      <c r="D172" s="112" t="s">
        <v>623</v>
      </c>
      <c r="E172" s="105">
        <f>ROUND(SUMIF('zdroj HK'!A:A,C172,'zdroj HK'!B:B),2)</f>
        <v>0</v>
      </c>
      <c r="F172" s="105"/>
      <c r="G172" s="105">
        <f t="shared" si="32"/>
        <v>0</v>
      </c>
      <c r="I172" s="101" t="s">
        <v>768</v>
      </c>
    </row>
    <row r="173" spans="2:18">
      <c r="B173" s="110" t="s">
        <v>159</v>
      </c>
      <c r="C173" s="124">
        <v>325</v>
      </c>
      <c r="D173" s="112" t="s">
        <v>624</v>
      </c>
      <c r="E173" s="105">
        <f>ROUND(SUMIF('zdroj HK'!A:A,C173,'zdroj HK'!B:B),2)</f>
        <v>0</v>
      </c>
      <c r="F173" s="105"/>
      <c r="G173" s="105">
        <f t="shared" si="32"/>
        <v>0</v>
      </c>
      <c r="I173" s="101" t="s">
        <v>768</v>
      </c>
    </row>
    <row r="174" spans="2:18">
      <c r="B174" s="110" t="s">
        <v>159</v>
      </c>
      <c r="C174" s="124">
        <v>326</v>
      </c>
      <c r="D174" s="112" t="s">
        <v>625</v>
      </c>
      <c r="E174" s="105">
        <f>ROUND(SUMIF('zdroj HK'!A:A,C174,'zdroj HK'!B:B),2)</f>
        <v>-242181.28</v>
      </c>
      <c r="F174" s="105"/>
      <c r="G174" s="105">
        <f t="shared" si="32"/>
        <v>-242181.28</v>
      </c>
      <c r="I174" s="101" t="s">
        <v>768</v>
      </c>
    </row>
    <row r="175" spans="2:18">
      <c r="B175" s="102">
        <v>0</v>
      </c>
      <c r="C175" s="124"/>
      <c r="D175" s="112"/>
      <c r="E175" s="105"/>
      <c r="F175" s="105"/>
      <c r="G175" s="105"/>
    </row>
    <row r="176" spans="2:18">
      <c r="B176" s="102">
        <v>0</v>
      </c>
      <c r="C176" s="123" t="s">
        <v>626</v>
      </c>
      <c r="D176" s="108" t="s">
        <v>627</v>
      </c>
      <c r="E176" s="105"/>
      <c r="F176" s="105"/>
      <c r="G176" s="105"/>
    </row>
    <row r="177" spans="2:16">
      <c r="B177" s="110" t="s">
        <v>161</v>
      </c>
      <c r="C177" s="124">
        <v>331</v>
      </c>
      <c r="D177" s="112" t="s">
        <v>628</v>
      </c>
      <c r="E177" s="105">
        <f>ROUND(SUMIF('zdroj HK'!A:A,C177,'zdroj HK'!B:B),2)</f>
        <v>-612.41</v>
      </c>
      <c r="F177" s="105"/>
      <c r="G177" s="105">
        <f t="shared" ref="G177:G181" si="33">E177+F177</f>
        <v>-612.41</v>
      </c>
      <c r="I177" s="101" t="s">
        <v>768</v>
      </c>
    </row>
    <row r="178" spans="2:16">
      <c r="B178" s="110" t="s">
        <v>161</v>
      </c>
      <c r="C178" s="124">
        <v>333</v>
      </c>
      <c r="D178" s="112" t="s">
        <v>629</v>
      </c>
      <c r="E178" s="105">
        <f>ROUND(SUMIF('zdroj HK'!A:A,C178,'zdroj HK'!B:B),2)</f>
        <v>0</v>
      </c>
      <c r="F178" s="105"/>
      <c r="G178" s="105">
        <f t="shared" si="33"/>
        <v>0</v>
      </c>
      <c r="I178" s="101" t="s">
        <v>768</v>
      </c>
    </row>
    <row r="179" spans="2:16">
      <c r="B179" s="102">
        <v>0</v>
      </c>
      <c r="C179" s="129">
        <v>335</v>
      </c>
      <c r="D179" s="116" t="s">
        <v>630</v>
      </c>
      <c r="E179" s="117">
        <f>ROUND(SUMIF('zdroj HK'!A:A,C179,'zdroj HK'!B:B),2)</f>
        <v>62.25</v>
      </c>
      <c r="F179" s="117">
        <f>-E179</f>
        <v>-62.25</v>
      </c>
      <c r="G179" s="117"/>
      <c r="I179" s="101" t="s">
        <v>768</v>
      </c>
    </row>
    <row r="180" spans="2:16">
      <c r="B180" s="110" t="s">
        <v>810</v>
      </c>
      <c r="C180" s="130"/>
      <c r="D180" s="119" t="s">
        <v>812</v>
      </c>
      <c r="E180" s="120"/>
      <c r="F180" s="120">
        <f>-F179</f>
        <v>62.25</v>
      </c>
      <c r="G180" s="120">
        <f t="shared" si="33"/>
        <v>62.25</v>
      </c>
      <c r="I180" s="121">
        <f>$E$179</f>
        <v>62.25</v>
      </c>
      <c r="P180" s="190"/>
    </row>
    <row r="181" spans="2:16">
      <c r="B181" s="110" t="s">
        <v>811</v>
      </c>
      <c r="C181" s="130"/>
      <c r="D181" s="119" t="s">
        <v>813</v>
      </c>
      <c r="E181" s="120"/>
      <c r="F181" s="120"/>
      <c r="G181" s="120">
        <f t="shared" si="33"/>
        <v>0</v>
      </c>
      <c r="I181" s="121">
        <f>$E$179</f>
        <v>62.25</v>
      </c>
      <c r="P181" s="190"/>
    </row>
    <row r="182" spans="2:16">
      <c r="B182" s="102">
        <v>0</v>
      </c>
      <c r="C182" s="129">
        <v>336</v>
      </c>
      <c r="D182" s="116" t="s">
        <v>631</v>
      </c>
      <c r="E182" s="117">
        <f>ROUND(SUMIF('zdroj HK'!A:A,C182,'zdroj HK'!B:B),2)</f>
        <v>-318.68</v>
      </c>
      <c r="F182" s="117"/>
      <c r="G182" s="117"/>
      <c r="I182" s="101" t="s">
        <v>768</v>
      </c>
    </row>
    <row r="183" spans="2:16">
      <c r="B183" s="110" t="s">
        <v>814</v>
      </c>
      <c r="C183" s="131"/>
      <c r="D183" s="132" t="s">
        <v>815</v>
      </c>
      <c r="E183" s="133">
        <f>IF(E182&gt;0,E182,0)</f>
        <v>0</v>
      </c>
      <c r="F183" s="133"/>
      <c r="G183" s="133">
        <f>E183+F183</f>
        <v>0</v>
      </c>
    </row>
    <row r="184" spans="2:16">
      <c r="B184" s="110" t="s">
        <v>163</v>
      </c>
      <c r="C184" s="131"/>
      <c r="D184" s="132" t="s">
        <v>816</v>
      </c>
      <c r="E184" s="133">
        <f>IF(E182&lt;0,E182,0)</f>
        <v>-318.68</v>
      </c>
      <c r="F184" s="133"/>
      <c r="G184" s="133">
        <f>E184+F184</f>
        <v>-318.68</v>
      </c>
    </row>
    <row r="185" spans="2:16">
      <c r="B185" s="102">
        <v>0</v>
      </c>
      <c r="C185" s="124"/>
      <c r="D185" s="112"/>
      <c r="E185" s="105"/>
      <c r="F185" s="105"/>
      <c r="G185" s="105"/>
    </row>
    <row r="186" spans="2:16">
      <c r="B186" s="102">
        <v>0</v>
      </c>
      <c r="C186" s="123" t="s">
        <v>632</v>
      </c>
      <c r="D186" s="134" t="s">
        <v>633</v>
      </c>
      <c r="E186" s="105"/>
      <c r="F186" s="105"/>
      <c r="G186" s="105"/>
    </row>
    <row r="187" spans="2:16">
      <c r="B187" s="102">
        <v>0</v>
      </c>
      <c r="C187" s="129">
        <v>341</v>
      </c>
      <c r="D187" s="116" t="s">
        <v>191</v>
      </c>
      <c r="E187" s="117">
        <f>ROUND(SUMIF('zdroj HK'!A:A,C187,'zdroj HK'!B:B),2)</f>
        <v>0</v>
      </c>
      <c r="F187" s="117"/>
      <c r="G187" s="117"/>
      <c r="I187" s="101" t="s">
        <v>768</v>
      </c>
    </row>
    <row r="188" spans="2:16">
      <c r="B188" s="110" t="s">
        <v>825</v>
      </c>
      <c r="C188" s="131"/>
      <c r="D188" s="132" t="s">
        <v>817</v>
      </c>
      <c r="E188" s="133">
        <f>IF(E187&gt;0,E187,0)</f>
        <v>0</v>
      </c>
      <c r="F188" s="133"/>
      <c r="G188" s="133">
        <f>E188+F188</f>
        <v>0</v>
      </c>
    </row>
    <row r="189" spans="2:16">
      <c r="B189" s="110" t="s">
        <v>164</v>
      </c>
      <c r="C189" s="131"/>
      <c r="D189" s="132" t="s">
        <v>818</v>
      </c>
      <c r="E189" s="133">
        <f>IF(E187&lt;0,E187,0)</f>
        <v>0</v>
      </c>
      <c r="F189" s="133"/>
      <c r="G189" s="133">
        <f>E189+F189</f>
        <v>0</v>
      </c>
      <c r="P189" s="287"/>
    </row>
    <row r="190" spans="2:16">
      <c r="B190" s="102">
        <v>0</v>
      </c>
      <c r="C190" s="129">
        <v>342</v>
      </c>
      <c r="D190" s="116" t="s">
        <v>634</v>
      </c>
      <c r="E190" s="117">
        <f>ROUND(SUMIF('zdroj HK'!A:A,C190,'zdroj HK'!B:B),2)</f>
        <v>0</v>
      </c>
      <c r="F190" s="117"/>
      <c r="G190" s="117"/>
      <c r="I190" s="101" t="s">
        <v>768</v>
      </c>
    </row>
    <row r="191" spans="2:16">
      <c r="B191" s="110" t="s">
        <v>825</v>
      </c>
      <c r="C191" s="131"/>
      <c r="D191" s="132" t="s">
        <v>819</v>
      </c>
      <c r="E191" s="133">
        <f>IF(E190&gt;0,E190,0)</f>
        <v>0</v>
      </c>
      <c r="F191" s="133"/>
      <c r="G191" s="133">
        <f>E191+F191</f>
        <v>0</v>
      </c>
    </row>
    <row r="192" spans="2:16">
      <c r="B192" s="110" t="s">
        <v>164</v>
      </c>
      <c r="C192" s="131"/>
      <c r="D192" s="132" t="s">
        <v>820</v>
      </c>
      <c r="E192" s="133">
        <f>IF(E190&lt;0,E190,0)</f>
        <v>0</v>
      </c>
      <c r="F192" s="133"/>
      <c r="G192" s="133">
        <f>E192+F192</f>
        <v>0</v>
      </c>
    </row>
    <row r="193" spans="2:16">
      <c r="B193" s="102">
        <v>0</v>
      </c>
      <c r="C193" s="129">
        <v>343</v>
      </c>
      <c r="D193" s="116" t="s">
        <v>635</v>
      </c>
      <c r="E193" s="117">
        <f>ROUND(SUMIF('zdroj HK'!A:A,C193,'zdroj HK'!B:B),2)</f>
        <v>0</v>
      </c>
      <c r="F193" s="117"/>
      <c r="G193" s="117"/>
      <c r="I193" s="101" t="s">
        <v>768</v>
      </c>
    </row>
    <row r="194" spans="2:16">
      <c r="B194" s="110" t="s">
        <v>825</v>
      </c>
      <c r="C194" s="131"/>
      <c r="D194" s="132" t="s">
        <v>821</v>
      </c>
      <c r="E194" s="133">
        <f>IF(E193&gt;0,E193,0)</f>
        <v>0</v>
      </c>
      <c r="F194" s="133"/>
      <c r="G194" s="133">
        <f>E194+F194</f>
        <v>0</v>
      </c>
    </row>
    <row r="195" spans="2:16">
      <c r="B195" s="110" t="s">
        <v>164</v>
      </c>
      <c r="C195" s="131"/>
      <c r="D195" s="132" t="s">
        <v>822</v>
      </c>
      <c r="E195" s="133">
        <f>IF(E193&lt;0,E193,0)</f>
        <v>0</v>
      </c>
      <c r="F195" s="133"/>
      <c r="G195" s="133">
        <f>E195+F195</f>
        <v>0</v>
      </c>
    </row>
    <row r="196" spans="2:16">
      <c r="B196" s="102">
        <v>0</v>
      </c>
      <c r="C196" s="129">
        <v>345</v>
      </c>
      <c r="D196" s="116" t="s">
        <v>636</v>
      </c>
      <c r="E196" s="117">
        <f>ROUND(SUMIF('zdroj HK'!A:A,C196,'zdroj HK'!B:B),2)</f>
        <v>0</v>
      </c>
      <c r="F196" s="117"/>
      <c r="G196" s="117"/>
      <c r="I196" s="101" t="s">
        <v>768</v>
      </c>
    </row>
    <row r="197" spans="2:16">
      <c r="B197" s="110" t="s">
        <v>825</v>
      </c>
      <c r="C197" s="131"/>
      <c r="D197" s="132" t="s">
        <v>823</v>
      </c>
      <c r="E197" s="133">
        <f>IF(E196&gt;0,E196,0)</f>
        <v>0</v>
      </c>
      <c r="F197" s="133"/>
      <c r="G197" s="133">
        <f>E197+F197</f>
        <v>0</v>
      </c>
    </row>
    <row r="198" spans="2:16">
      <c r="B198" s="110" t="s">
        <v>164</v>
      </c>
      <c r="C198" s="131"/>
      <c r="D198" s="132" t="s">
        <v>824</v>
      </c>
      <c r="E198" s="133">
        <f>IF(E196&lt;0,E196,0)</f>
        <v>0</v>
      </c>
      <c r="F198" s="133"/>
      <c r="G198" s="133">
        <f>E198+F198</f>
        <v>0</v>
      </c>
    </row>
    <row r="199" spans="2:16">
      <c r="B199" s="102">
        <v>0</v>
      </c>
      <c r="C199" s="129">
        <v>346</v>
      </c>
      <c r="D199" s="116" t="s">
        <v>637</v>
      </c>
      <c r="E199" s="117">
        <f>ROUND(SUMIF('zdroj HK'!A:A,C199,'zdroj HK'!B:B),2)</f>
        <v>0</v>
      </c>
      <c r="F199" s="117"/>
      <c r="G199" s="117">
        <f t="shared" ref="G199:G202" si="34">E199+F199</f>
        <v>0</v>
      </c>
      <c r="I199" s="101" t="s">
        <v>768</v>
      </c>
    </row>
    <row r="200" spans="2:16">
      <c r="B200" s="110" t="s">
        <v>884</v>
      </c>
      <c r="C200" s="131"/>
      <c r="D200" s="177" t="s">
        <v>887</v>
      </c>
      <c r="E200" s="133">
        <f>IF(E199&gt;0,E199,0)</f>
        <v>0</v>
      </c>
      <c r="F200" s="133"/>
      <c r="G200" s="133">
        <f>E200+F200</f>
        <v>0</v>
      </c>
    </row>
    <row r="201" spans="2:16">
      <c r="B201" s="110" t="s">
        <v>165</v>
      </c>
      <c r="C201" s="131"/>
      <c r="D201" s="177" t="s">
        <v>888</v>
      </c>
      <c r="E201" s="133">
        <f>IF(E199&lt;0,E199,0)</f>
        <v>0</v>
      </c>
      <c r="F201" s="133"/>
      <c r="G201" s="133">
        <f>E201+F201</f>
        <v>0</v>
      </c>
    </row>
    <row r="202" spans="2:16">
      <c r="B202" s="102">
        <v>0</v>
      </c>
      <c r="C202" s="129">
        <v>348</v>
      </c>
      <c r="D202" s="116" t="s">
        <v>638</v>
      </c>
      <c r="E202" s="117">
        <f>ROUND(SUMIF('zdroj HK'!A:A,C202,'zdroj HK'!B:B),2)</f>
        <v>0</v>
      </c>
      <c r="F202" s="117"/>
      <c r="G202" s="117">
        <f t="shared" si="34"/>
        <v>0</v>
      </c>
      <c r="I202" s="101" t="s">
        <v>768</v>
      </c>
    </row>
    <row r="203" spans="2:16">
      <c r="B203" s="110" t="s">
        <v>884</v>
      </c>
      <c r="C203" s="131"/>
      <c r="D203" s="177" t="s">
        <v>885</v>
      </c>
      <c r="E203" s="133">
        <f>IF(E202&gt;0,E202,0)</f>
        <v>0</v>
      </c>
      <c r="F203" s="133"/>
      <c r="G203" s="133">
        <f>E203+F203</f>
        <v>0</v>
      </c>
    </row>
    <row r="204" spans="2:16">
      <c r="B204" s="110" t="s">
        <v>165</v>
      </c>
      <c r="C204" s="131"/>
      <c r="D204" s="177" t="s">
        <v>886</v>
      </c>
      <c r="E204" s="133">
        <f>IF(E202&lt;0,E202,0)</f>
        <v>0</v>
      </c>
      <c r="F204" s="133"/>
      <c r="G204" s="133">
        <f>E204+F204</f>
        <v>0</v>
      </c>
    </row>
    <row r="205" spans="2:16">
      <c r="B205" s="102">
        <v>0</v>
      </c>
      <c r="C205" s="124"/>
      <c r="D205" s="112"/>
      <c r="E205" s="105"/>
      <c r="F205" s="105"/>
      <c r="G205" s="105"/>
    </row>
    <row r="206" spans="2:16">
      <c r="B206" s="102">
        <v>0</v>
      </c>
      <c r="C206" s="134" t="s">
        <v>639</v>
      </c>
      <c r="D206" s="134" t="s">
        <v>640</v>
      </c>
      <c r="E206" s="105"/>
      <c r="F206" s="105"/>
      <c r="G206" s="105"/>
    </row>
    <row r="207" spans="2:16">
      <c r="B207" s="102">
        <v>0</v>
      </c>
      <c r="C207" s="125">
        <v>358</v>
      </c>
      <c r="D207" s="116" t="s">
        <v>641</v>
      </c>
      <c r="E207" s="117">
        <f>ROUND(SUMIF('zdroj HK'!A:A,C207,'zdroj HK'!B:B),2)</f>
        <v>0</v>
      </c>
      <c r="F207" s="117"/>
      <c r="G207" s="117"/>
      <c r="I207" s="101" t="s">
        <v>768</v>
      </c>
    </row>
    <row r="208" spans="2:16">
      <c r="B208" s="110" t="s">
        <v>828</v>
      </c>
      <c r="C208" s="126"/>
      <c r="D208" s="119" t="s">
        <v>827</v>
      </c>
      <c r="E208" s="120"/>
      <c r="F208" s="120"/>
      <c r="G208" s="120">
        <f>E208+F208</f>
        <v>0</v>
      </c>
      <c r="I208" s="121">
        <f>$E$207</f>
        <v>0</v>
      </c>
      <c r="P208" s="190"/>
    </row>
    <row r="209" spans="2:16">
      <c r="B209" s="110" t="s">
        <v>829</v>
      </c>
      <c r="C209" s="126"/>
      <c r="D209" s="119" t="s">
        <v>826</v>
      </c>
      <c r="E209" s="120"/>
      <c r="F209" s="120"/>
      <c r="G209" s="120">
        <f>E209+F209</f>
        <v>0</v>
      </c>
      <c r="I209" s="121">
        <f>$E$207</f>
        <v>0</v>
      </c>
      <c r="P209" s="190"/>
    </row>
    <row r="210" spans="2:16">
      <c r="B210" s="102">
        <v>0</v>
      </c>
      <c r="C210" s="127"/>
      <c r="D210" s="112"/>
      <c r="E210" s="105"/>
      <c r="F210" s="105"/>
      <c r="G210" s="105"/>
    </row>
    <row r="211" spans="2:16">
      <c r="B211" s="102">
        <v>0</v>
      </c>
      <c r="C211" s="134" t="s">
        <v>642</v>
      </c>
      <c r="D211" s="134" t="s">
        <v>643</v>
      </c>
      <c r="E211" s="105"/>
      <c r="F211" s="105"/>
      <c r="G211" s="105"/>
    </row>
    <row r="212" spans="2:16">
      <c r="B212" s="110" t="s">
        <v>167</v>
      </c>
      <c r="C212" s="124">
        <v>367</v>
      </c>
      <c r="D212" s="112" t="s">
        <v>644</v>
      </c>
      <c r="E212" s="105">
        <f>ROUND(SUMIF('zdroj HK'!A:A,C212,'zdroj HK'!B:B),2)</f>
        <v>0</v>
      </c>
      <c r="F212" s="105"/>
      <c r="G212" s="105">
        <f t="shared" ref="G212:G213" si="35">E212+F212</f>
        <v>0</v>
      </c>
      <c r="I212" s="101" t="s">
        <v>768</v>
      </c>
    </row>
    <row r="213" spans="2:16">
      <c r="B213" s="110" t="s">
        <v>168</v>
      </c>
      <c r="C213" s="124">
        <v>368</v>
      </c>
      <c r="D213" s="112" t="s">
        <v>645</v>
      </c>
      <c r="E213" s="105">
        <f>ROUND(SUMIF('zdroj HK'!A:A,C213,'zdroj HK'!B:B),2)</f>
        <v>0</v>
      </c>
      <c r="F213" s="105"/>
      <c r="G213" s="105">
        <f t="shared" si="35"/>
        <v>0</v>
      </c>
      <c r="I213" s="101" t="s">
        <v>768</v>
      </c>
    </row>
    <row r="214" spans="2:16">
      <c r="B214" s="102">
        <v>0</v>
      </c>
      <c r="C214" s="124"/>
      <c r="D214" s="112"/>
      <c r="E214" s="105"/>
      <c r="F214" s="105"/>
      <c r="G214" s="105"/>
    </row>
    <row r="215" spans="2:16">
      <c r="B215" s="102">
        <v>0</v>
      </c>
      <c r="C215" s="134" t="s">
        <v>646</v>
      </c>
      <c r="D215" s="134" t="s">
        <v>647</v>
      </c>
      <c r="E215" s="105"/>
      <c r="F215" s="105"/>
      <c r="G215" s="105"/>
    </row>
    <row r="216" spans="2:16">
      <c r="B216" s="102">
        <v>0</v>
      </c>
      <c r="C216" s="129">
        <v>373</v>
      </c>
      <c r="D216" s="116" t="s">
        <v>648</v>
      </c>
      <c r="E216" s="117">
        <f>ROUND(SUMIF('zdroj HK'!A:A,C216,'zdroj HK'!B:B),2)</f>
        <v>0</v>
      </c>
      <c r="F216" s="117"/>
      <c r="G216" s="117"/>
      <c r="I216" s="101" t="s">
        <v>768</v>
      </c>
    </row>
    <row r="217" spans="2:16">
      <c r="B217" s="110" t="s">
        <v>810</v>
      </c>
      <c r="C217" s="130"/>
      <c r="D217" s="119" t="s">
        <v>832</v>
      </c>
      <c r="E217" s="120"/>
      <c r="F217" s="120"/>
      <c r="G217" s="120">
        <f>E217+F217</f>
        <v>0</v>
      </c>
      <c r="I217" s="121">
        <f>$E$216</f>
        <v>0</v>
      </c>
      <c r="P217" s="190"/>
    </row>
    <row r="218" spans="2:16">
      <c r="B218" s="110" t="s">
        <v>811</v>
      </c>
      <c r="C218" s="130"/>
      <c r="D218" s="119" t="s">
        <v>831</v>
      </c>
      <c r="E218" s="120"/>
      <c r="F218" s="120"/>
      <c r="G218" s="120">
        <f t="shared" ref="G218:G226" si="36">E218+F218</f>
        <v>0</v>
      </c>
      <c r="I218" s="121">
        <f t="shared" ref="I218:I220" si="37">$E$216</f>
        <v>0</v>
      </c>
      <c r="P218" s="190"/>
    </row>
    <row r="219" spans="2:16">
      <c r="B219" s="110" t="s">
        <v>171</v>
      </c>
      <c r="C219" s="130"/>
      <c r="D219" s="119" t="s">
        <v>833</v>
      </c>
      <c r="E219" s="120"/>
      <c r="F219" s="120"/>
      <c r="G219" s="120">
        <f t="shared" si="36"/>
        <v>0</v>
      </c>
      <c r="I219" s="121">
        <f t="shared" si="37"/>
        <v>0</v>
      </c>
      <c r="P219" s="190"/>
    </row>
    <row r="220" spans="2:16">
      <c r="B220" s="110" t="s">
        <v>156</v>
      </c>
      <c r="C220" s="130"/>
      <c r="D220" s="119" t="s">
        <v>830</v>
      </c>
      <c r="E220" s="120"/>
      <c r="F220" s="120"/>
      <c r="G220" s="120">
        <f t="shared" si="36"/>
        <v>0</v>
      </c>
      <c r="I220" s="121">
        <f t="shared" si="37"/>
        <v>0</v>
      </c>
      <c r="P220" s="190"/>
    </row>
    <row r="221" spans="2:16">
      <c r="B221" s="102">
        <v>0</v>
      </c>
      <c r="C221" s="129">
        <v>375</v>
      </c>
      <c r="D221" s="116" t="s">
        <v>649</v>
      </c>
      <c r="E221" s="117">
        <f>ROUND(SUMIF('zdroj HK'!A:A,C221,'zdroj HK'!B:B),2)</f>
        <v>0</v>
      </c>
      <c r="F221" s="117"/>
      <c r="G221" s="117"/>
      <c r="I221" s="101" t="s">
        <v>768</v>
      </c>
    </row>
    <row r="222" spans="2:16">
      <c r="B222" s="110" t="s">
        <v>810</v>
      </c>
      <c r="C222" s="130"/>
      <c r="D222" s="119" t="str">
        <f>D221&amp;" - krátkodobé"</f>
        <v>Pohľadávky z dlhopisov emitovaných účtovnou jednotkou - krátkodobé</v>
      </c>
      <c r="E222" s="120"/>
      <c r="F222" s="120"/>
      <c r="G222" s="120">
        <f t="shared" si="36"/>
        <v>0</v>
      </c>
      <c r="I222" s="121">
        <f>$E$221</f>
        <v>0</v>
      </c>
      <c r="P222" s="190"/>
    </row>
    <row r="223" spans="2:16">
      <c r="B223" s="110" t="s">
        <v>811</v>
      </c>
      <c r="C223" s="130"/>
      <c r="D223" s="119" t="str">
        <f>D221&amp;" - dlhodobé"</f>
        <v>Pohľadávky z dlhopisov emitovaných účtovnou jednotkou - dlhodobé</v>
      </c>
      <c r="E223" s="120"/>
      <c r="F223" s="120"/>
      <c r="G223" s="120">
        <f t="shared" si="36"/>
        <v>0</v>
      </c>
      <c r="I223" s="121">
        <f>$E$221</f>
        <v>0</v>
      </c>
      <c r="P223" s="190"/>
    </row>
    <row r="224" spans="2:16">
      <c r="B224" s="102">
        <v>0</v>
      </c>
      <c r="C224" s="129">
        <v>378</v>
      </c>
      <c r="D224" s="116" t="s">
        <v>650</v>
      </c>
      <c r="E224" s="117">
        <f>ROUND(SUMIF('zdroj HK'!A:A,C224,'zdroj HK'!B:B),2)</f>
        <v>161593.59</v>
      </c>
      <c r="F224" s="291">
        <f>+P224</f>
        <v>0</v>
      </c>
      <c r="G224" s="117">
        <f>+E224+F224</f>
        <v>161593.59</v>
      </c>
      <c r="I224" s="101" t="s">
        <v>768</v>
      </c>
      <c r="P224" s="190"/>
    </row>
    <row r="225" spans="2:20">
      <c r="B225" s="110" t="s">
        <v>810</v>
      </c>
      <c r="C225" s="130"/>
      <c r="D225" s="119" t="str">
        <f>D224&amp;" - krátkodobé"</f>
        <v>Iné pohľadávky - krátkodobé</v>
      </c>
      <c r="E225" s="120"/>
      <c r="F225" s="286">
        <f>161593.59+T225</f>
        <v>161932.57999999999</v>
      </c>
      <c r="G225" s="120">
        <f>E225+F225</f>
        <v>161932.57999999999</v>
      </c>
      <c r="I225" s="121">
        <f>$E$224</f>
        <v>161593.59</v>
      </c>
      <c r="T225" s="106">
        <f>107.13+231.86</f>
        <v>338.99</v>
      </c>
    </row>
    <row r="226" spans="2:20">
      <c r="B226" s="110" t="s">
        <v>811</v>
      </c>
      <c r="C226" s="130"/>
      <c r="D226" s="119" t="str">
        <f>D224&amp;" - dlhodobé"</f>
        <v>Iné pohľadávky - dlhodobé</v>
      </c>
      <c r="E226" s="120"/>
      <c r="F226" s="120"/>
      <c r="G226" s="120">
        <f t="shared" si="36"/>
        <v>0</v>
      </c>
      <c r="I226" s="121">
        <f>$E$224</f>
        <v>161593.59</v>
      </c>
      <c r="P226" s="190"/>
    </row>
    <row r="227" spans="2:20">
      <c r="B227" s="110" t="s">
        <v>171</v>
      </c>
      <c r="C227" s="135">
        <v>379</v>
      </c>
      <c r="D227" s="136" t="s">
        <v>651</v>
      </c>
      <c r="E227" s="105">
        <f>ROUND(SUMIF('zdroj HK'!A:A,C227,'zdroj HK'!B:B),2)</f>
        <v>-1830.73</v>
      </c>
      <c r="F227" s="137">
        <f>-F195</f>
        <v>0</v>
      </c>
      <c r="G227" s="137">
        <f>E227+F227</f>
        <v>-1830.73</v>
      </c>
      <c r="I227" s="101" t="s">
        <v>768</v>
      </c>
    </row>
    <row r="228" spans="2:20">
      <c r="B228" s="102">
        <v>0</v>
      </c>
      <c r="C228" s="124"/>
      <c r="D228" s="112"/>
      <c r="E228" s="105"/>
      <c r="F228" s="105"/>
      <c r="G228" s="105"/>
    </row>
    <row r="229" spans="2:20">
      <c r="B229" s="102">
        <v>0</v>
      </c>
      <c r="C229" s="134" t="s">
        <v>652</v>
      </c>
      <c r="D229" s="134" t="s">
        <v>653</v>
      </c>
      <c r="E229" s="105"/>
      <c r="F229" s="105"/>
      <c r="G229" s="105"/>
    </row>
    <row r="230" spans="2:20">
      <c r="B230" s="110" t="s">
        <v>481</v>
      </c>
      <c r="C230" s="124">
        <v>381</v>
      </c>
      <c r="D230" s="112" t="s">
        <v>490</v>
      </c>
      <c r="E230" s="105">
        <f>ROUND(SUMIF('zdroj HK'!A:A,C230,'zdroj HK'!B:B),2)</f>
        <v>9.85</v>
      </c>
      <c r="F230" s="105"/>
      <c r="G230" s="105">
        <f t="shared" ref="G230:G233" si="38">E230+F230</f>
        <v>9.85</v>
      </c>
      <c r="I230" s="101" t="s">
        <v>768</v>
      </c>
    </row>
    <row r="231" spans="2:20">
      <c r="B231" s="110" t="s">
        <v>179</v>
      </c>
      <c r="C231" s="124">
        <v>383</v>
      </c>
      <c r="D231" s="112" t="s">
        <v>654</v>
      </c>
      <c r="E231" s="105">
        <f>ROUND(SUMIF('zdroj HK'!A:A,C231,'zdroj HK'!B:B),2)</f>
        <v>0</v>
      </c>
      <c r="F231" s="105"/>
      <c r="G231" s="105">
        <f t="shared" si="38"/>
        <v>0</v>
      </c>
      <c r="I231" s="101" t="s">
        <v>768</v>
      </c>
      <c r="Q231" s="190"/>
    </row>
    <row r="232" spans="2:20">
      <c r="B232" s="110" t="s">
        <v>180</v>
      </c>
      <c r="C232" s="127">
        <v>384</v>
      </c>
      <c r="D232" s="112" t="s">
        <v>655</v>
      </c>
      <c r="E232" s="105">
        <f>ROUND(SUMIF('zdroj HK'!A:A,C232,'zdroj HK'!B:B),2)</f>
        <v>0</v>
      </c>
      <c r="F232" s="105"/>
      <c r="G232" s="105">
        <f t="shared" si="38"/>
        <v>0</v>
      </c>
      <c r="I232" s="101" t="s">
        <v>768</v>
      </c>
    </row>
    <row r="233" spans="2:20">
      <c r="B233" s="110" t="s">
        <v>834</v>
      </c>
      <c r="C233" s="124">
        <v>385</v>
      </c>
      <c r="D233" s="112" t="s">
        <v>491</v>
      </c>
      <c r="E233" s="105">
        <f>ROUND(SUMIF('zdroj HK'!A:A,C233,'zdroj HK'!B:B),2)</f>
        <v>0</v>
      </c>
      <c r="F233" s="105"/>
      <c r="G233" s="105">
        <f t="shared" si="38"/>
        <v>0</v>
      </c>
      <c r="I233" s="101" t="s">
        <v>768</v>
      </c>
    </row>
    <row r="234" spans="2:20">
      <c r="B234" s="102">
        <v>0</v>
      </c>
      <c r="C234" s="124"/>
      <c r="D234" s="112"/>
      <c r="E234" s="105"/>
      <c r="F234" s="105"/>
      <c r="G234" s="105"/>
    </row>
    <row r="235" spans="2:20">
      <c r="B235" s="102">
        <v>0</v>
      </c>
      <c r="C235" s="134" t="s">
        <v>656</v>
      </c>
      <c r="D235" s="134" t="s">
        <v>657</v>
      </c>
      <c r="E235" s="105"/>
      <c r="F235" s="105"/>
      <c r="G235" s="105"/>
    </row>
    <row r="236" spans="2:20">
      <c r="B236" s="102">
        <v>0</v>
      </c>
      <c r="C236" s="129">
        <v>391</v>
      </c>
      <c r="D236" s="116" t="s">
        <v>658</v>
      </c>
      <c r="E236" s="117">
        <f>ROUND(SUMIF('zdroj HK'!A:A,C236,'zdroj HK'!B:B),2)</f>
        <v>-5935.04</v>
      </c>
      <c r="F236" s="117">
        <f>-E236</f>
        <v>5935.04</v>
      </c>
      <c r="G236" s="117"/>
      <c r="I236" s="101" t="s">
        <v>768</v>
      </c>
    </row>
    <row r="237" spans="2:20">
      <c r="B237" s="110" t="s">
        <v>866</v>
      </c>
      <c r="C237" s="130"/>
      <c r="D237" s="119" t="s">
        <v>836</v>
      </c>
      <c r="E237" s="120"/>
      <c r="F237" s="120"/>
      <c r="G237" s="120">
        <f>E237+F237</f>
        <v>0</v>
      </c>
      <c r="I237" s="121">
        <f>$E$236</f>
        <v>-5935.04</v>
      </c>
      <c r="P237" s="190"/>
    </row>
    <row r="238" spans="2:20">
      <c r="B238" s="110" t="s">
        <v>867</v>
      </c>
      <c r="C238" s="130"/>
      <c r="D238" s="119" t="s">
        <v>837</v>
      </c>
      <c r="E238" s="120"/>
      <c r="F238" s="120"/>
      <c r="G238" s="120">
        <f t="shared" ref="G238:G246" si="39">E238+F238</f>
        <v>0</v>
      </c>
      <c r="I238" s="121">
        <f t="shared" ref="I238:I246" si="40">$E$236</f>
        <v>-5935.04</v>
      </c>
      <c r="P238" s="190"/>
    </row>
    <row r="239" spans="2:20">
      <c r="B239" s="110" t="s">
        <v>868</v>
      </c>
      <c r="C239" s="130"/>
      <c r="D239" s="119" t="s">
        <v>838</v>
      </c>
      <c r="E239" s="120"/>
      <c r="F239" s="120"/>
      <c r="G239" s="120">
        <f t="shared" si="39"/>
        <v>0</v>
      </c>
      <c r="I239" s="121">
        <f t="shared" si="40"/>
        <v>-5935.04</v>
      </c>
      <c r="P239" s="190"/>
    </row>
    <row r="240" spans="2:20">
      <c r="B240" s="110" t="s">
        <v>869</v>
      </c>
      <c r="C240" s="130"/>
      <c r="D240" s="119" t="s">
        <v>839</v>
      </c>
      <c r="E240" s="120"/>
      <c r="F240" s="120"/>
      <c r="G240" s="120">
        <f t="shared" si="39"/>
        <v>0</v>
      </c>
      <c r="I240" s="121">
        <f t="shared" si="40"/>
        <v>-5935.04</v>
      </c>
      <c r="P240" s="190"/>
    </row>
    <row r="241" spans="2:16">
      <c r="B241" s="110" t="s">
        <v>870</v>
      </c>
      <c r="C241" s="130"/>
      <c r="D241" s="119" t="s">
        <v>840</v>
      </c>
      <c r="E241" s="120"/>
      <c r="F241" s="120"/>
      <c r="G241" s="120">
        <f t="shared" si="39"/>
        <v>0</v>
      </c>
      <c r="I241" s="121">
        <f t="shared" si="40"/>
        <v>-5935.04</v>
      </c>
      <c r="P241" s="190"/>
    </row>
    <row r="242" spans="2:16">
      <c r="B242" s="110" t="s">
        <v>871</v>
      </c>
      <c r="C242" s="130"/>
      <c r="D242" s="119" t="s">
        <v>841</v>
      </c>
      <c r="E242" s="120"/>
      <c r="F242" s="120">
        <f>-F236</f>
        <v>-5935.04</v>
      </c>
      <c r="G242" s="120">
        <f t="shared" si="39"/>
        <v>-5935.04</v>
      </c>
      <c r="I242" s="121">
        <f t="shared" si="40"/>
        <v>-5935.04</v>
      </c>
      <c r="P242" s="190"/>
    </row>
    <row r="243" spans="2:16">
      <c r="B243" s="110" t="s">
        <v>872</v>
      </c>
      <c r="C243" s="130"/>
      <c r="D243" s="119" t="s">
        <v>842</v>
      </c>
      <c r="E243" s="120"/>
      <c r="F243" s="120"/>
      <c r="G243" s="120">
        <f t="shared" si="39"/>
        <v>0</v>
      </c>
      <c r="I243" s="121">
        <f t="shared" si="40"/>
        <v>-5935.04</v>
      </c>
      <c r="P243" s="190"/>
    </row>
    <row r="244" spans="2:16">
      <c r="B244" s="110" t="s">
        <v>873</v>
      </c>
      <c r="C244" s="130"/>
      <c r="D244" s="119" t="s">
        <v>843</v>
      </c>
      <c r="E244" s="120"/>
      <c r="F244" s="120"/>
      <c r="G244" s="120">
        <f t="shared" si="39"/>
        <v>0</v>
      </c>
      <c r="I244" s="121">
        <f t="shared" si="40"/>
        <v>-5935.04</v>
      </c>
      <c r="P244" s="190"/>
    </row>
    <row r="245" spans="2:16">
      <c r="B245" s="110" t="s">
        <v>874</v>
      </c>
      <c r="C245" s="130"/>
      <c r="D245" s="119" t="s">
        <v>844</v>
      </c>
      <c r="E245" s="120"/>
      <c r="F245" s="120"/>
      <c r="G245" s="120">
        <f t="shared" si="39"/>
        <v>0</v>
      </c>
      <c r="I245" s="121">
        <f t="shared" si="40"/>
        <v>-5935.04</v>
      </c>
      <c r="P245" s="190"/>
    </row>
    <row r="246" spans="2:16">
      <c r="B246" s="110" t="s">
        <v>882</v>
      </c>
      <c r="C246" s="130"/>
      <c r="D246" s="176" t="s">
        <v>883</v>
      </c>
      <c r="E246" s="120"/>
      <c r="F246" s="120"/>
      <c r="G246" s="120">
        <f t="shared" si="39"/>
        <v>0</v>
      </c>
      <c r="I246" s="121">
        <f t="shared" si="40"/>
        <v>-5935.04</v>
      </c>
      <c r="P246" s="190"/>
    </row>
    <row r="247" spans="2:16">
      <c r="B247" s="102">
        <v>0</v>
      </c>
      <c r="C247" s="124"/>
      <c r="D247" s="112"/>
      <c r="E247" s="105"/>
      <c r="F247" s="105"/>
      <c r="G247" s="105"/>
    </row>
    <row r="248" spans="2:16">
      <c r="B248" s="102">
        <v>0</v>
      </c>
      <c r="C248" s="124">
        <v>395</v>
      </c>
      <c r="D248" s="138" t="s">
        <v>659</v>
      </c>
      <c r="E248" s="105">
        <f>ROUND(SUMIF('zdroj HK'!A:A,C248,'zdroj HK'!B:B),2)</f>
        <v>0</v>
      </c>
      <c r="F248" s="105"/>
      <c r="G248" s="105">
        <f t="shared" ref="G248:G249" si="41">E248+F248</f>
        <v>0</v>
      </c>
      <c r="I248" s="101" t="s">
        <v>768</v>
      </c>
    </row>
    <row r="249" spans="2:16">
      <c r="B249" s="110" t="s">
        <v>835</v>
      </c>
      <c r="C249" s="124">
        <v>396</v>
      </c>
      <c r="D249" s="112" t="s">
        <v>660</v>
      </c>
      <c r="E249" s="105">
        <f>ROUND(SUMIF('zdroj HK'!A:A,C249,'zdroj HK'!B:B),2)</f>
        <v>0</v>
      </c>
      <c r="F249" s="105"/>
      <c r="G249" s="105">
        <f t="shared" si="41"/>
        <v>0</v>
      </c>
      <c r="I249" s="101" t="s">
        <v>768</v>
      </c>
    </row>
    <row r="250" spans="2:16">
      <c r="B250" s="102">
        <v>0</v>
      </c>
      <c r="C250" s="103"/>
      <c r="D250" s="104"/>
      <c r="E250" s="105"/>
      <c r="F250" s="105"/>
      <c r="G250" s="105"/>
    </row>
    <row r="251" spans="2:16">
      <c r="B251" s="102">
        <v>0</v>
      </c>
      <c r="C251" s="134" t="s">
        <v>661</v>
      </c>
      <c r="D251" s="134" t="s">
        <v>662</v>
      </c>
      <c r="E251" s="105"/>
      <c r="F251" s="105"/>
      <c r="G251" s="105"/>
    </row>
    <row r="252" spans="2:16">
      <c r="B252" s="102">
        <v>0</v>
      </c>
      <c r="C252" s="134"/>
      <c r="D252" s="134"/>
      <c r="E252" s="105"/>
      <c r="F252" s="105"/>
      <c r="G252" s="105"/>
    </row>
    <row r="253" spans="2:16">
      <c r="B253" s="102">
        <v>0</v>
      </c>
      <c r="C253" s="134" t="s">
        <v>663</v>
      </c>
      <c r="D253" s="134" t="s">
        <v>755</v>
      </c>
      <c r="E253" s="105"/>
      <c r="F253" s="105"/>
      <c r="G253" s="105"/>
    </row>
    <row r="254" spans="2:16">
      <c r="B254" s="110" t="s">
        <v>122</v>
      </c>
      <c r="C254" s="124">
        <v>411</v>
      </c>
      <c r="D254" s="112" t="s">
        <v>492</v>
      </c>
      <c r="E254" s="105">
        <f>ROUND(SUMIF('zdroj HK'!A:A,C254,'zdroj HK'!B:B),2)</f>
        <v>-13576.08</v>
      </c>
      <c r="F254" s="105"/>
      <c r="G254" s="105">
        <f t="shared" ref="G254:G258" si="42">E254+F254</f>
        <v>-13576.08</v>
      </c>
      <c r="I254" s="101" t="s">
        <v>768</v>
      </c>
    </row>
    <row r="255" spans="2:16">
      <c r="B255" s="110" t="s">
        <v>123</v>
      </c>
      <c r="C255" s="124">
        <v>412</v>
      </c>
      <c r="D255" s="112" t="s">
        <v>664</v>
      </c>
      <c r="E255" s="105">
        <f>ROUND(SUMIF('zdroj HK'!A:A,C255,'zdroj HK'!B:B),2)</f>
        <v>0</v>
      </c>
      <c r="F255" s="105"/>
      <c r="G255" s="105">
        <f t="shared" si="42"/>
        <v>0</v>
      </c>
      <c r="I255" s="101" t="s">
        <v>768</v>
      </c>
    </row>
    <row r="256" spans="2:16">
      <c r="B256" s="110" t="s">
        <v>125</v>
      </c>
      <c r="C256" s="124">
        <v>413</v>
      </c>
      <c r="D256" s="112" t="s">
        <v>665</v>
      </c>
      <c r="E256" s="105">
        <f>ROUND(SUMIF('zdroj HK'!A:A,C256,'zdroj HK'!B:B),2)</f>
        <v>0</v>
      </c>
      <c r="F256" s="105"/>
      <c r="G256" s="105">
        <f t="shared" si="42"/>
        <v>0</v>
      </c>
      <c r="I256" s="101" t="s">
        <v>768</v>
      </c>
    </row>
    <row r="257" spans="2:16">
      <c r="B257" s="110" t="s">
        <v>127</v>
      </c>
      <c r="C257" s="124">
        <v>414</v>
      </c>
      <c r="D257" s="112" t="s">
        <v>666</v>
      </c>
      <c r="E257" s="105">
        <f>ROUND(SUMIF('zdroj HK'!A:A,C257,'zdroj HK'!B:B),2)</f>
        <v>0</v>
      </c>
      <c r="F257" s="105"/>
      <c r="G257" s="105">
        <f t="shared" si="42"/>
        <v>0</v>
      </c>
      <c r="I257" s="101" t="s">
        <v>768</v>
      </c>
    </row>
    <row r="258" spans="2:16">
      <c r="B258" s="110" t="s">
        <v>129</v>
      </c>
      <c r="C258" s="124">
        <v>415</v>
      </c>
      <c r="D258" s="112" t="s">
        <v>667</v>
      </c>
      <c r="E258" s="105">
        <f>ROUND(SUMIF('zdroj HK'!A:A,C258,'zdroj HK'!B:B),2)</f>
        <v>0</v>
      </c>
      <c r="F258" s="105"/>
      <c r="G258" s="105">
        <f t="shared" si="42"/>
        <v>0</v>
      </c>
      <c r="I258" s="101" t="s">
        <v>768</v>
      </c>
    </row>
    <row r="259" spans="2:16">
      <c r="B259" s="102">
        <v>0</v>
      </c>
      <c r="C259" s="103"/>
      <c r="D259" s="139"/>
      <c r="E259" s="105"/>
      <c r="F259" s="105"/>
      <c r="G259" s="105"/>
    </row>
    <row r="260" spans="2:16">
      <c r="B260" s="102">
        <v>0</v>
      </c>
      <c r="C260" s="134" t="s">
        <v>668</v>
      </c>
      <c r="D260" s="134" t="s">
        <v>669</v>
      </c>
      <c r="E260" s="105"/>
      <c r="F260" s="105"/>
      <c r="G260" s="105"/>
    </row>
    <row r="261" spans="2:16">
      <c r="B261" s="110" t="s">
        <v>131</v>
      </c>
      <c r="C261" s="139">
        <v>421</v>
      </c>
      <c r="D261" s="112" t="s">
        <v>670</v>
      </c>
      <c r="E261" s="105">
        <f>ROUND(SUMIF('zdroj HK'!A:A,C261,'zdroj HK'!B:B),2)</f>
        <v>0</v>
      </c>
      <c r="F261" s="105"/>
      <c r="G261" s="105">
        <f t="shared" ref="G261:G264" si="43">E261+F261</f>
        <v>0</v>
      </c>
      <c r="I261" s="101" t="s">
        <v>768</v>
      </c>
    </row>
    <row r="262" spans="2:16">
      <c r="B262" s="110" t="s">
        <v>132</v>
      </c>
      <c r="C262" s="139">
        <v>423</v>
      </c>
      <c r="D262" s="112" t="s">
        <v>671</v>
      </c>
      <c r="E262" s="105">
        <f>ROUND(SUMIF('zdroj HK'!A:A,C262,'zdroj HK'!B:B),2)</f>
        <v>0</v>
      </c>
      <c r="F262" s="105"/>
      <c r="G262" s="105">
        <f t="shared" si="43"/>
        <v>0</v>
      </c>
      <c r="I262" s="101" t="s">
        <v>768</v>
      </c>
    </row>
    <row r="263" spans="2:16">
      <c r="B263" s="110" t="s">
        <v>133</v>
      </c>
      <c r="C263" s="139">
        <v>427</v>
      </c>
      <c r="D263" s="112" t="s">
        <v>672</v>
      </c>
      <c r="E263" s="105">
        <f>ROUND(SUMIF('zdroj HK'!A:A,C263,'zdroj HK'!B:B),2)</f>
        <v>0</v>
      </c>
      <c r="F263" s="105"/>
      <c r="G263" s="105">
        <f t="shared" si="43"/>
        <v>0</v>
      </c>
      <c r="I263" s="101" t="s">
        <v>768</v>
      </c>
    </row>
    <row r="264" spans="2:16">
      <c r="B264" s="110" t="s">
        <v>135</v>
      </c>
      <c r="C264" s="139">
        <v>428</v>
      </c>
      <c r="D264" s="112" t="s">
        <v>673</v>
      </c>
      <c r="E264" s="105">
        <f>ROUND(SUMIF('zdroj HK'!A:A,C264,'zdroj HK'!B:B),2)</f>
        <v>3024285.7</v>
      </c>
      <c r="F264" s="105"/>
      <c r="G264" s="105">
        <f t="shared" si="43"/>
        <v>3024285.7</v>
      </c>
      <c r="I264" s="101" t="s">
        <v>768</v>
      </c>
    </row>
    <row r="265" spans="2:16">
      <c r="B265" s="102">
        <v>0</v>
      </c>
      <c r="C265" s="103"/>
      <c r="D265" s="139"/>
      <c r="E265" s="105"/>
      <c r="F265" s="105"/>
      <c r="G265" s="105"/>
    </row>
    <row r="266" spans="2:16">
      <c r="B266" s="102">
        <v>0</v>
      </c>
      <c r="C266" s="134" t="s">
        <v>674</v>
      </c>
      <c r="D266" s="134" t="s">
        <v>675</v>
      </c>
      <c r="E266" s="105"/>
      <c r="F266" s="105"/>
      <c r="G266" s="105"/>
    </row>
    <row r="267" spans="2:16">
      <c r="B267" s="102">
        <v>0</v>
      </c>
      <c r="C267" s="143">
        <v>431</v>
      </c>
      <c r="D267" s="186" t="s">
        <v>676</v>
      </c>
      <c r="E267" s="117">
        <f>ROUND(SUMIF('zdroj HK'!A:A,C267,'zdroj HK'!B:B),2)</f>
        <v>0</v>
      </c>
      <c r="F267" s="117">
        <f>-E267</f>
        <v>0</v>
      </c>
      <c r="G267" s="117">
        <f t="shared" ref="G267" si="44">E267+F267</f>
        <v>0</v>
      </c>
      <c r="I267" s="101" t="s">
        <v>768</v>
      </c>
    </row>
    <row r="268" spans="2:16">
      <c r="B268" s="110" t="s">
        <v>135</v>
      </c>
      <c r="C268" s="142"/>
      <c r="D268" s="185" t="s">
        <v>898</v>
      </c>
      <c r="E268" s="120"/>
      <c r="F268" s="120">
        <f>-F267</f>
        <v>0</v>
      </c>
      <c r="G268" s="120">
        <f>E268+F268</f>
        <v>0</v>
      </c>
      <c r="I268" s="121">
        <f>$E$267</f>
        <v>0</v>
      </c>
      <c r="P268" s="190"/>
    </row>
    <row r="269" spans="2:16">
      <c r="B269" s="102">
        <v>0</v>
      </c>
      <c r="C269" s="103"/>
      <c r="D269" s="140"/>
      <c r="E269" s="105"/>
      <c r="F269" s="105"/>
      <c r="G269" s="105"/>
    </row>
    <row r="270" spans="2:16">
      <c r="B270" s="102">
        <v>0</v>
      </c>
      <c r="C270" s="134" t="s">
        <v>677</v>
      </c>
      <c r="D270" s="134" t="s">
        <v>678</v>
      </c>
      <c r="E270" s="105"/>
      <c r="F270" s="105"/>
      <c r="G270" s="105"/>
    </row>
    <row r="271" spans="2:16">
      <c r="B271" s="102">
        <v>0</v>
      </c>
      <c r="C271" s="141">
        <v>451</v>
      </c>
      <c r="D271" s="116" t="s">
        <v>679</v>
      </c>
      <c r="E271" s="117">
        <f>ROUND(SUMIF('zdroj HK'!A:A,C271,'zdroj HK'!B:B),2)</f>
        <v>0</v>
      </c>
      <c r="F271" s="117"/>
      <c r="G271" s="117"/>
      <c r="I271" s="101" t="s">
        <v>768</v>
      </c>
    </row>
    <row r="272" spans="2:16">
      <c r="B272" s="110" t="s">
        <v>144</v>
      </c>
      <c r="C272" s="142"/>
      <c r="D272" s="119" t="s">
        <v>846</v>
      </c>
      <c r="E272" s="120"/>
      <c r="F272" s="120"/>
      <c r="G272" s="120">
        <f>E272+F272</f>
        <v>0</v>
      </c>
      <c r="I272" s="121">
        <f>$E$271</f>
        <v>0</v>
      </c>
      <c r="P272" s="190"/>
    </row>
    <row r="273" spans="2:16">
      <c r="B273" s="110" t="s">
        <v>141</v>
      </c>
      <c r="C273" s="142"/>
      <c r="D273" s="119" t="s">
        <v>845</v>
      </c>
      <c r="E273" s="120"/>
      <c r="F273" s="120"/>
      <c r="G273" s="120">
        <f>E273+F273</f>
        <v>0</v>
      </c>
      <c r="I273" s="121">
        <f>$E$271</f>
        <v>0</v>
      </c>
      <c r="P273" s="190"/>
    </row>
    <row r="274" spans="2:16">
      <c r="B274" s="102">
        <v>0</v>
      </c>
      <c r="C274" s="141">
        <v>459</v>
      </c>
      <c r="D274" s="116" t="s">
        <v>680</v>
      </c>
      <c r="E274" s="117">
        <f>ROUND(SUMIF('zdroj HK'!A:A,C274,'zdroj HK'!B:B),2)</f>
        <v>0</v>
      </c>
      <c r="F274" s="117"/>
      <c r="G274" s="117"/>
      <c r="I274" s="101" t="s">
        <v>768</v>
      </c>
    </row>
    <row r="275" spans="2:16">
      <c r="B275" s="110" t="s">
        <v>144</v>
      </c>
      <c r="C275" s="142"/>
      <c r="D275" s="119" t="s">
        <v>847</v>
      </c>
      <c r="E275" s="120"/>
      <c r="F275" s="120"/>
      <c r="G275" s="120">
        <f>E275+F275</f>
        <v>0</v>
      </c>
      <c r="I275" s="121">
        <f>$E$274</f>
        <v>0</v>
      </c>
      <c r="P275" s="190"/>
    </row>
    <row r="276" spans="2:16">
      <c r="B276" s="110" t="s">
        <v>142</v>
      </c>
      <c r="C276" s="142"/>
      <c r="D276" s="119" t="s">
        <v>848</v>
      </c>
      <c r="E276" s="120"/>
      <c r="F276" s="120"/>
      <c r="G276" s="120">
        <f>E276+F276</f>
        <v>0</v>
      </c>
      <c r="I276" s="121">
        <f>$E$274</f>
        <v>0</v>
      </c>
      <c r="P276" s="190"/>
    </row>
    <row r="277" spans="2:16">
      <c r="B277" s="102">
        <v>0</v>
      </c>
      <c r="C277" s="103"/>
      <c r="D277" s="128"/>
      <c r="E277" s="105"/>
      <c r="F277" s="105"/>
      <c r="G277" s="105"/>
    </row>
    <row r="278" spans="2:16">
      <c r="B278" s="102">
        <v>0</v>
      </c>
      <c r="C278" s="134" t="s">
        <v>681</v>
      </c>
      <c r="D278" s="134" t="s">
        <v>682</v>
      </c>
      <c r="E278" s="105"/>
      <c r="F278" s="105"/>
      <c r="G278" s="105"/>
    </row>
    <row r="279" spans="2:16">
      <c r="B279" s="102">
        <v>0</v>
      </c>
      <c r="C279" s="141">
        <v>461</v>
      </c>
      <c r="D279" s="116" t="s">
        <v>682</v>
      </c>
      <c r="E279" s="117">
        <f>ROUND(SUMIF('zdroj HK'!A:A,C279,'zdroj HK'!B:B),2)</f>
        <v>0</v>
      </c>
      <c r="F279" s="117"/>
      <c r="G279" s="117"/>
      <c r="I279" s="101" t="s">
        <v>768</v>
      </c>
    </row>
    <row r="280" spans="2:16">
      <c r="B280" s="110" t="s">
        <v>176</v>
      </c>
      <c r="C280" s="142"/>
      <c r="D280" s="119" t="s">
        <v>850</v>
      </c>
      <c r="E280" s="120"/>
      <c r="F280" s="120"/>
      <c r="G280" s="120">
        <f>E280+F280</f>
        <v>0</v>
      </c>
      <c r="I280" s="121">
        <f>$E$279</f>
        <v>0</v>
      </c>
      <c r="P280" s="190"/>
    </row>
    <row r="281" spans="2:16">
      <c r="B281" s="110" t="s">
        <v>174</v>
      </c>
      <c r="C281" s="142"/>
      <c r="D281" s="119" t="s">
        <v>849</v>
      </c>
      <c r="E281" s="120"/>
      <c r="F281" s="120"/>
      <c r="G281" s="120">
        <f>E281+F281</f>
        <v>0</v>
      </c>
      <c r="I281" s="121">
        <f>$E$279</f>
        <v>0</v>
      </c>
      <c r="P281" s="190"/>
    </row>
    <row r="282" spans="2:16">
      <c r="B282" s="102">
        <v>0</v>
      </c>
      <c r="C282" s="103"/>
      <c r="D282" s="128"/>
      <c r="E282" s="105"/>
      <c r="F282" s="105"/>
      <c r="G282" s="105"/>
    </row>
    <row r="283" spans="2:16">
      <c r="B283" s="102">
        <v>0</v>
      </c>
      <c r="C283" s="134" t="s">
        <v>683</v>
      </c>
      <c r="D283" s="134" t="s">
        <v>684</v>
      </c>
      <c r="E283" s="105"/>
      <c r="F283" s="105"/>
      <c r="G283" s="105"/>
    </row>
    <row r="284" spans="2:16">
      <c r="B284" s="110" t="s">
        <v>146</v>
      </c>
      <c r="C284" s="128">
        <v>472</v>
      </c>
      <c r="D284" s="112" t="s">
        <v>685</v>
      </c>
      <c r="E284" s="105">
        <f>ROUND(SUMIF('zdroj HK'!A:A,C284,'zdroj HK'!B:B),2)</f>
        <v>0</v>
      </c>
      <c r="F284" s="105"/>
      <c r="G284" s="105">
        <f t="shared" ref="G284:G291" si="45">E284+F284</f>
        <v>0</v>
      </c>
      <c r="I284" s="101" t="s">
        <v>768</v>
      </c>
    </row>
    <row r="285" spans="2:16">
      <c r="B285" s="110" t="s">
        <v>147</v>
      </c>
      <c r="C285" s="128">
        <v>473</v>
      </c>
      <c r="D285" s="112" t="s">
        <v>686</v>
      </c>
      <c r="E285" s="105">
        <f>ROUND(SUMIF('zdroj HK'!A:A,C285,'zdroj HK'!B:B),2)</f>
        <v>0</v>
      </c>
      <c r="F285" s="105"/>
      <c r="G285" s="105">
        <f t="shared" si="45"/>
        <v>0</v>
      </c>
      <c r="I285" s="101" t="s">
        <v>768</v>
      </c>
    </row>
    <row r="286" spans="2:16">
      <c r="B286" s="102">
        <v>0</v>
      </c>
      <c r="C286" s="143">
        <v>474</v>
      </c>
      <c r="D286" s="116" t="s">
        <v>687</v>
      </c>
      <c r="E286" s="117">
        <f>ROUND(SUMIF('zdroj HK'!A:A,C286,'zdroj HK'!B:B),2)</f>
        <v>0</v>
      </c>
      <c r="F286" s="117"/>
      <c r="G286" s="117"/>
      <c r="I286" s="101" t="s">
        <v>768</v>
      </c>
    </row>
    <row r="287" spans="2:16">
      <c r="B287" s="110" t="s">
        <v>171</v>
      </c>
      <c r="C287" s="144"/>
      <c r="D287" s="119" t="s">
        <v>851</v>
      </c>
      <c r="E287" s="120"/>
      <c r="F287" s="120"/>
      <c r="G287" s="120">
        <f>E287+F287</f>
        <v>0</v>
      </c>
      <c r="I287" s="121">
        <f>$E$286</f>
        <v>0</v>
      </c>
      <c r="P287" s="190"/>
    </row>
    <row r="288" spans="2:16">
      <c r="B288" s="110" t="s">
        <v>148</v>
      </c>
      <c r="C288" s="144"/>
      <c r="D288" s="119" t="s">
        <v>852</v>
      </c>
      <c r="E288" s="120"/>
      <c r="F288" s="120"/>
      <c r="G288" s="120">
        <f>E288+F288</f>
        <v>0</v>
      </c>
      <c r="I288" s="121">
        <f>$E$286</f>
        <v>0</v>
      </c>
      <c r="P288" s="190"/>
    </row>
    <row r="289" spans="2:16">
      <c r="B289" s="110" t="s">
        <v>150</v>
      </c>
      <c r="C289" s="139">
        <v>475</v>
      </c>
      <c r="D289" s="112" t="s">
        <v>688</v>
      </c>
      <c r="E289" s="105">
        <f>ROUND(SUMIF('zdroj HK'!A:A,C289,'zdroj HK'!B:B),2)</f>
        <v>0</v>
      </c>
      <c r="F289" s="105"/>
      <c r="G289" s="105">
        <f t="shared" si="45"/>
        <v>0</v>
      </c>
      <c r="I289" s="101" t="s">
        <v>768</v>
      </c>
    </row>
    <row r="290" spans="2:16">
      <c r="B290" s="110" t="s">
        <v>152</v>
      </c>
      <c r="C290" s="139">
        <v>476</v>
      </c>
      <c r="D290" s="112" t="s">
        <v>689</v>
      </c>
      <c r="E290" s="105">
        <f>ROUND(SUMIF('zdroj HK'!A:A,C290,'zdroj HK'!B:B),2)</f>
        <v>0</v>
      </c>
      <c r="F290" s="105"/>
      <c r="G290" s="105">
        <f t="shared" si="45"/>
        <v>0</v>
      </c>
      <c r="I290" s="101" t="s">
        <v>768</v>
      </c>
    </row>
    <row r="291" spans="2:16">
      <c r="B291" s="110" t="s">
        <v>154</v>
      </c>
      <c r="C291" s="139">
        <v>478</v>
      </c>
      <c r="D291" s="112" t="s">
        <v>690</v>
      </c>
      <c r="E291" s="105">
        <f>ROUND(SUMIF('zdroj HK'!A:A,C291,'zdroj HK'!B:B),2)</f>
        <v>0</v>
      </c>
      <c r="F291" s="105"/>
      <c r="G291" s="105">
        <f t="shared" si="45"/>
        <v>0</v>
      </c>
      <c r="I291" s="101" t="s">
        <v>768</v>
      </c>
    </row>
    <row r="292" spans="2:16">
      <c r="B292" s="102">
        <v>0</v>
      </c>
      <c r="C292" s="143">
        <v>479</v>
      </c>
      <c r="D292" s="116" t="s">
        <v>691</v>
      </c>
      <c r="E292" s="117">
        <f>ROUND(SUMIF('zdroj HK'!A:A,C292,'zdroj HK'!B:B),2)</f>
        <v>0</v>
      </c>
      <c r="F292" s="117"/>
      <c r="G292" s="117"/>
      <c r="I292" s="101" t="s">
        <v>768</v>
      </c>
    </row>
    <row r="293" spans="2:16">
      <c r="B293" s="110" t="s">
        <v>171</v>
      </c>
      <c r="C293" s="144"/>
      <c r="D293" s="119" t="s">
        <v>853</v>
      </c>
      <c r="E293" s="120"/>
      <c r="F293" s="120"/>
      <c r="G293" s="120">
        <f>E293+F293</f>
        <v>0</v>
      </c>
      <c r="I293" s="121">
        <f>$E$292</f>
        <v>0</v>
      </c>
      <c r="P293" s="190"/>
    </row>
    <row r="294" spans="2:16">
      <c r="B294" s="110" t="s">
        <v>156</v>
      </c>
      <c r="C294" s="144"/>
      <c r="D294" s="119" t="s">
        <v>854</v>
      </c>
      <c r="E294" s="120"/>
      <c r="F294" s="120"/>
      <c r="G294" s="120">
        <f>E294+F294</f>
        <v>0</v>
      </c>
      <c r="I294" s="121">
        <f>$E$292</f>
        <v>0</v>
      </c>
      <c r="P294" s="190"/>
    </row>
    <row r="295" spans="2:16">
      <c r="B295" s="102">
        <v>0</v>
      </c>
      <c r="C295" s="103"/>
      <c r="D295" s="122"/>
      <c r="E295" s="105"/>
      <c r="F295" s="105"/>
      <c r="G295" s="105"/>
    </row>
    <row r="296" spans="2:16">
      <c r="B296" s="102">
        <v>0</v>
      </c>
      <c r="C296" s="134" t="s">
        <v>692</v>
      </c>
      <c r="D296" s="134" t="s">
        <v>693</v>
      </c>
      <c r="E296" s="105"/>
      <c r="F296" s="105"/>
      <c r="G296" s="105"/>
    </row>
    <row r="297" spans="2:16">
      <c r="B297" s="102">
        <v>0</v>
      </c>
      <c r="C297" s="122"/>
      <c r="D297" s="112"/>
      <c r="E297" s="105"/>
      <c r="F297" s="105"/>
      <c r="G297" s="105"/>
    </row>
    <row r="298" spans="2:16">
      <c r="B298" s="102">
        <v>0</v>
      </c>
      <c r="C298" s="134" t="s">
        <v>694</v>
      </c>
      <c r="D298" s="134" t="s">
        <v>695</v>
      </c>
      <c r="E298" s="105"/>
      <c r="F298" s="105"/>
      <c r="G298" s="105"/>
    </row>
    <row r="299" spans="2:16">
      <c r="B299" s="110" t="s">
        <v>415</v>
      </c>
      <c r="C299" s="139">
        <v>501</v>
      </c>
      <c r="D299" s="112" t="s">
        <v>414</v>
      </c>
      <c r="E299" s="105">
        <f>ROUND(SUMIF('zdroj HK'!A:A,C299,'zdroj HK'!B:B),2)</f>
        <v>1330920.46</v>
      </c>
      <c r="F299" s="105"/>
      <c r="G299" s="105">
        <f t="shared" ref="G299:G301" si="46">E299+F299</f>
        <v>1330920.46</v>
      </c>
      <c r="I299" s="101" t="s">
        <v>768</v>
      </c>
    </row>
    <row r="300" spans="2:16">
      <c r="B300" s="110" t="s">
        <v>412</v>
      </c>
      <c r="C300" s="139">
        <v>502</v>
      </c>
      <c r="D300" s="112" t="s">
        <v>411</v>
      </c>
      <c r="E300" s="105">
        <f>ROUND(SUMIF('zdroj HK'!A:A,C300,'zdroj HK'!B:B),2)</f>
        <v>263796.09000000003</v>
      </c>
      <c r="F300" s="105"/>
      <c r="G300" s="105">
        <f t="shared" si="46"/>
        <v>263796.09000000003</v>
      </c>
      <c r="I300" s="101" t="s">
        <v>768</v>
      </c>
    </row>
    <row r="301" spans="2:16">
      <c r="B301" s="110" t="s">
        <v>409</v>
      </c>
      <c r="C301" s="139">
        <v>504</v>
      </c>
      <c r="D301" s="112" t="s">
        <v>408</v>
      </c>
      <c r="E301" s="105">
        <f>ROUND(SUMIF('zdroj HK'!A:A,C301,'zdroj HK'!B:B),2)</f>
        <v>0</v>
      </c>
      <c r="F301" s="105"/>
      <c r="G301" s="105">
        <f t="shared" si="46"/>
        <v>0</v>
      </c>
      <c r="I301" s="101" t="s">
        <v>768</v>
      </c>
    </row>
    <row r="302" spans="2:16">
      <c r="B302" s="102">
        <v>0</v>
      </c>
      <c r="C302" s="139"/>
      <c r="D302" s="112"/>
      <c r="E302" s="105"/>
      <c r="F302" s="105"/>
      <c r="G302" s="105"/>
    </row>
    <row r="303" spans="2:16">
      <c r="B303" s="102">
        <v>0</v>
      </c>
      <c r="C303" s="134" t="s">
        <v>696</v>
      </c>
      <c r="D303" s="134" t="s">
        <v>697</v>
      </c>
      <c r="E303" s="105"/>
      <c r="F303" s="105"/>
      <c r="G303" s="105"/>
    </row>
    <row r="304" spans="2:16">
      <c r="B304" s="110" t="s">
        <v>406</v>
      </c>
      <c r="C304" s="139">
        <v>511</v>
      </c>
      <c r="D304" s="112" t="s">
        <v>698</v>
      </c>
      <c r="E304" s="105">
        <f>ROUND(SUMIF('zdroj HK'!A:A,C304,'zdroj HK'!B:B),2)</f>
        <v>34587.82</v>
      </c>
      <c r="F304" s="105"/>
      <c r="G304" s="105">
        <f t="shared" ref="G304:G307" si="47">E304+F304</f>
        <v>34587.82</v>
      </c>
      <c r="I304" s="101" t="s">
        <v>768</v>
      </c>
    </row>
    <row r="305" spans="2:9">
      <c r="B305" s="110" t="s">
        <v>403</v>
      </c>
      <c r="C305" s="139">
        <v>512</v>
      </c>
      <c r="D305" s="112" t="s">
        <v>402</v>
      </c>
      <c r="E305" s="105">
        <f>ROUND(SUMIF('zdroj HK'!A:A,C305,'zdroj HK'!B:B),2)</f>
        <v>1127.1300000000001</v>
      </c>
      <c r="F305" s="105"/>
      <c r="G305" s="105">
        <f t="shared" si="47"/>
        <v>1127.1300000000001</v>
      </c>
      <c r="I305" s="101" t="s">
        <v>768</v>
      </c>
    </row>
    <row r="306" spans="2:9">
      <c r="B306" s="110" t="s">
        <v>400</v>
      </c>
      <c r="C306" s="139">
        <v>513</v>
      </c>
      <c r="D306" s="112" t="s">
        <v>399</v>
      </c>
      <c r="E306" s="105">
        <f>ROUND(SUMIF('zdroj HK'!A:A,C306,'zdroj HK'!B:B),2)</f>
        <v>961.23</v>
      </c>
      <c r="F306" s="105"/>
      <c r="G306" s="105">
        <f t="shared" si="47"/>
        <v>961.23</v>
      </c>
      <c r="I306" s="101" t="s">
        <v>768</v>
      </c>
    </row>
    <row r="307" spans="2:9">
      <c r="B307" s="110" t="s">
        <v>397</v>
      </c>
      <c r="C307" s="139">
        <v>518</v>
      </c>
      <c r="D307" s="112" t="s">
        <v>396</v>
      </c>
      <c r="E307" s="105">
        <f>ROUND(SUMIF('zdroj HK'!A:A,C307,'zdroj HK'!B:B),2)</f>
        <v>935019.9</v>
      </c>
      <c r="F307" s="105"/>
      <c r="G307" s="105">
        <f t="shared" si="47"/>
        <v>935019.9</v>
      </c>
      <c r="I307" s="101" t="s">
        <v>768</v>
      </c>
    </row>
    <row r="308" spans="2:9">
      <c r="B308" s="102">
        <v>0</v>
      </c>
      <c r="C308" s="103"/>
      <c r="D308" s="139"/>
      <c r="E308" s="105"/>
      <c r="F308" s="105"/>
      <c r="G308" s="105"/>
    </row>
    <row r="309" spans="2:9">
      <c r="B309" s="102">
        <v>0</v>
      </c>
      <c r="C309" s="134" t="s">
        <v>699</v>
      </c>
      <c r="D309" s="134" t="s">
        <v>700</v>
      </c>
      <c r="E309" s="105"/>
      <c r="F309" s="105"/>
      <c r="G309" s="105"/>
    </row>
    <row r="310" spans="2:9">
      <c r="B310" s="110" t="s">
        <v>394</v>
      </c>
      <c r="C310" s="139">
        <v>521</v>
      </c>
      <c r="D310" s="112" t="s">
        <v>393</v>
      </c>
      <c r="E310" s="105">
        <f>ROUND(SUMIF('zdroj HK'!A:A,C310,'zdroj HK'!B:B),2)</f>
        <v>2298784.5</v>
      </c>
      <c r="F310" s="105"/>
      <c r="G310" s="105">
        <f t="shared" ref="G310:G314" si="48">E310+F310</f>
        <v>2298784.5</v>
      </c>
      <c r="I310" s="101" t="s">
        <v>768</v>
      </c>
    </row>
    <row r="311" spans="2:9">
      <c r="B311" s="110" t="s">
        <v>391</v>
      </c>
      <c r="C311" s="139">
        <v>524</v>
      </c>
      <c r="D311" s="112" t="s">
        <v>390</v>
      </c>
      <c r="E311" s="105">
        <f>ROUND(SUMIF('zdroj HK'!A:A,C311,'zdroj HK'!B:B),2)</f>
        <v>784369.11</v>
      </c>
      <c r="F311" s="105"/>
      <c r="G311" s="105">
        <f t="shared" si="48"/>
        <v>784369.11</v>
      </c>
      <c r="I311" s="101" t="s">
        <v>768</v>
      </c>
    </row>
    <row r="312" spans="2:9">
      <c r="B312" s="110" t="s">
        <v>388</v>
      </c>
      <c r="C312" s="139">
        <v>525</v>
      </c>
      <c r="D312" s="112" t="s">
        <v>701</v>
      </c>
      <c r="E312" s="105">
        <f>ROUND(SUMIF('zdroj HK'!A:A,C312,'zdroj HK'!B:B),2)</f>
        <v>1254.67</v>
      </c>
      <c r="F312" s="105"/>
      <c r="G312" s="105">
        <f t="shared" si="48"/>
        <v>1254.67</v>
      </c>
      <c r="I312" s="101" t="s">
        <v>768</v>
      </c>
    </row>
    <row r="313" spans="2:9">
      <c r="B313" s="110" t="s">
        <v>385</v>
      </c>
      <c r="C313" s="139">
        <v>527</v>
      </c>
      <c r="D313" s="112" t="s">
        <v>384</v>
      </c>
      <c r="E313" s="105">
        <f>ROUND(SUMIF('zdroj HK'!A:A,C313,'zdroj HK'!B:B),2)</f>
        <v>62982.23</v>
      </c>
      <c r="F313" s="105"/>
      <c r="G313" s="105">
        <f t="shared" si="48"/>
        <v>62982.23</v>
      </c>
      <c r="I313" s="101" t="s">
        <v>768</v>
      </c>
    </row>
    <row r="314" spans="2:9">
      <c r="B314" s="110" t="s">
        <v>382</v>
      </c>
      <c r="C314" s="139">
        <v>528</v>
      </c>
      <c r="D314" s="112" t="s">
        <v>381</v>
      </c>
      <c r="E314" s="105">
        <f>ROUND(SUMIF('zdroj HK'!A:A,C314,'zdroj HK'!B:B),2)</f>
        <v>874.04</v>
      </c>
      <c r="F314" s="105"/>
      <c r="G314" s="105">
        <f t="shared" si="48"/>
        <v>874.04</v>
      </c>
      <c r="I314" s="101" t="s">
        <v>768</v>
      </c>
    </row>
    <row r="315" spans="2:9">
      <c r="B315" s="102">
        <v>0</v>
      </c>
      <c r="C315" s="103"/>
      <c r="D315" s="139"/>
      <c r="E315" s="105"/>
      <c r="F315" s="105"/>
      <c r="G315" s="105"/>
    </row>
    <row r="316" spans="2:9">
      <c r="B316" s="102">
        <v>0</v>
      </c>
      <c r="C316" s="134" t="s">
        <v>702</v>
      </c>
      <c r="D316" s="134" t="s">
        <v>703</v>
      </c>
      <c r="E316" s="105"/>
      <c r="F316" s="105"/>
      <c r="G316" s="105"/>
    </row>
    <row r="317" spans="2:9">
      <c r="B317" s="110" t="s">
        <v>379</v>
      </c>
      <c r="C317" s="139">
        <v>531</v>
      </c>
      <c r="D317" s="112" t="s">
        <v>704</v>
      </c>
      <c r="E317" s="105">
        <f>ROUND(SUMIF('zdroj HK'!A:A,C317,'zdroj HK'!B:B),2)</f>
        <v>0</v>
      </c>
      <c r="F317" s="105"/>
      <c r="G317" s="105">
        <f t="shared" ref="G317:G319" si="49">E317+F317</f>
        <v>0</v>
      </c>
      <c r="I317" s="101" t="s">
        <v>768</v>
      </c>
    </row>
    <row r="318" spans="2:9">
      <c r="B318" s="110" t="s">
        <v>376</v>
      </c>
      <c r="C318" s="139">
        <v>532</v>
      </c>
      <c r="D318" s="112" t="s">
        <v>705</v>
      </c>
      <c r="E318" s="105">
        <f>ROUND(SUMIF('zdroj HK'!A:A,C318,'zdroj HK'!B:B),2)</f>
        <v>0</v>
      </c>
      <c r="F318" s="105"/>
      <c r="G318" s="105">
        <f t="shared" si="49"/>
        <v>0</v>
      </c>
      <c r="I318" s="101" t="s">
        <v>768</v>
      </c>
    </row>
    <row r="319" spans="2:9">
      <c r="B319" s="110" t="s">
        <v>373</v>
      </c>
      <c r="C319" s="139">
        <v>538</v>
      </c>
      <c r="D319" s="112" t="s">
        <v>706</v>
      </c>
      <c r="E319" s="105">
        <f>ROUND(SUMIF('zdroj HK'!A:A,C319,'zdroj HK'!B:B),2)</f>
        <v>747.89</v>
      </c>
      <c r="F319" s="105"/>
      <c r="G319" s="105">
        <f t="shared" si="49"/>
        <v>747.89</v>
      </c>
      <c r="I319" s="101" t="s">
        <v>768</v>
      </c>
    </row>
    <row r="320" spans="2:9">
      <c r="B320" s="102">
        <v>0</v>
      </c>
      <c r="C320" s="103"/>
      <c r="D320" s="139"/>
      <c r="E320" s="105"/>
      <c r="F320" s="105"/>
      <c r="G320" s="105"/>
    </row>
    <row r="321" spans="2:20">
      <c r="B321" s="102">
        <v>0</v>
      </c>
      <c r="C321" s="134" t="s">
        <v>707</v>
      </c>
      <c r="D321" s="134" t="s">
        <v>708</v>
      </c>
      <c r="E321" s="105"/>
      <c r="F321" s="105"/>
      <c r="G321" s="105"/>
    </row>
    <row r="322" spans="2:20">
      <c r="B322" s="110" t="s">
        <v>370</v>
      </c>
      <c r="C322" s="139">
        <v>541</v>
      </c>
      <c r="D322" s="112" t="s">
        <v>709</v>
      </c>
      <c r="E322" s="105">
        <f>ROUND(SUMIF('zdroj HK'!A:A,C322,'zdroj HK'!B:B),2)</f>
        <v>8416</v>
      </c>
      <c r="F322" s="105"/>
      <c r="G322" s="105">
        <f t="shared" ref="G322:G330" si="50">E322+F322</f>
        <v>8416</v>
      </c>
      <c r="I322" s="101" t="s">
        <v>768</v>
      </c>
    </row>
    <row r="323" spans="2:20">
      <c r="B323" s="110" t="s">
        <v>368</v>
      </c>
      <c r="C323" s="139">
        <v>542</v>
      </c>
      <c r="D323" s="112" t="s">
        <v>710</v>
      </c>
      <c r="E323" s="105">
        <f>ROUND(SUMIF('zdroj HK'!A:A,C323,'zdroj HK'!B:B),2)</f>
        <v>2000</v>
      </c>
      <c r="F323" s="105"/>
      <c r="G323" s="105">
        <f t="shared" si="50"/>
        <v>2000</v>
      </c>
      <c r="I323" s="101" t="s">
        <v>768</v>
      </c>
      <c r="P323" s="287"/>
    </row>
    <row r="324" spans="2:20">
      <c r="B324" s="110" t="s">
        <v>366</v>
      </c>
      <c r="C324" s="139">
        <v>543</v>
      </c>
      <c r="D324" s="112" t="s">
        <v>365</v>
      </c>
      <c r="E324" s="105">
        <f>ROUND(SUMIF('zdroj HK'!A:A,C324,'zdroj HK'!B:B),2)</f>
        <v>0</v>
      </c>
      <c r="F324" s="105"/>
      <c r="G324" s="105">
        <f t="shared" si="50"/>
        <v>0</v>
      </c>
      <c r="I324" s="101" t="s">
        <v>768</v>
      </c>
    </row>
    <row r="325" spans="2:20">
      <c r="B325" s="110" t="s">
        <v>363</v>
      </c>
      <c r="C325" s="139">
        <v>544</v>
      </c>
      <c r="D325" s="112" t="s">
        <v>258</v>
      </c>
      <c r="E325" s="105">
        <f>ROUND(SUMIF('zdroj HK'!A:A,C325,'zdroj HK'!B:B),2)</f>
        <v>1.2</v>
      </c>
      <c r="F325" s="137"/>
      <c r="G325" s="105">
        <f t="shared" si="50"/>
        <v>1.2</v>
      </c>
      <c r="I325" s="101" t="s">
        <v>768</v>
      </c>
    </row>
    <row r="326" spans="2:20">
      <c r="B326" s="110" t="s">
        <v>361</v>
      </c>
      <c r="C326" s="139">
        <v>545</v>
      </c>
      <c r="D326" s="112" t="s">
        <v>360</v>
      </c>
      <c r="E326" s="105">
        <f>ROUND(SUMIF('zdroj HK'!A:A,C326,'zdroj HK'!B:B),2)</f>
        <v>8.56</v>
      </c>
      <c r="F326" s="105"/>
      <c r="G326" s="105">
        <f t="shared" si="50"/>
        <v>8.56</v>
      </c>
      <c r="I326" s="101" t="s">
        <v>768</v>
      </c>
    </row>
    <row r="327" spans="2:20">
      <c r="B327" s="110" t="s">
        <v>358</v>
      </c>
      <c r="C327" s="139">
        <v>546</v>
      </c>
      <c r="D327" s="112" t="s">
        <v>357</v>
      </c>
      <c r="E327" s="105">
        <f>ROUND(SUMIF('zdroj HK'!A:A,C327,'zdroj HK'!B:B),2)</f>
        <v>0</v>
      </c>
      <c r="F327" s="105"/>
      <c r="G327" s="105">
        <f t="shared" si="50"/>
        <v>0</v>
      </c>
      <c r="I327" s="101" t="s">
        <v>768</v>
      </c>
    </row>
    <row r="328" spans="2:20">
      <c r="B328" s="110" t="s">
        <v>355</v>
      </c>
      <c r="C328" s="139">
        <v>547</v>
      </c>
      <c r="D328" s="112" t="s">
        <v>354</v>
      </c>
      <c r="E328" s="105">
        <f>ROUND(SUMIF('zdroj HK'!A:A,C328,'zdroj HK'!B:B),2)</f>
        <v>0</v>
      </c>
      <c r="F328" s="105"/>
      <c r="G328" s="105">
        <f t="shared" si="50"/>
        <v>0</v>
      </c>
      <c r="I328" s="101" t="s">
        <v>768</v>
      </c>
    </row>
    <row r="329" spans="2:20">
      <c r="B329" s="110" t="s">
        <v>352</v>
      </c>
      <c r="C329" s="128">
        <v>548</v>
      </c>
      <c r="D329" s="112" t="s">
        <v>711</v>
      </c>
      <c r="E329" s="105">
        <f>ROUND(SUMIF('zdroj HK'!A:A,C329,'zdroj HK'!B:B),2)</f>
        <v>45000</v>
      </c>
      <c r="F329" s="105"/>
      <c r="G329" s="105">
        <f t="shared" si="50"/>
        <v>45000</v>
      </c>
      <c r="I329" s="101" t="s">
        <v>768</v>
      </c>
    </row>
    <row r="330" spans="2:20">
      <c r="B330" s="110" t="s">
        <v>349</v>
      </c>
      <c r="C330" s="128">
        <v>549</v>
      </c>
      <c r="D330" s="112" t="s">
        <v>348</v>
      </c>
      <c r="E330" s="105">
        <f>ROUND(SUMIF('zdroj HK'!A:A,C330,'zdroj HK'!B:B),2)</f>
        <v>14110.34</v>
      </c>
      <c r="F330" s="105">
        <f>+T330</f>
        <v>-338.99</v>
      </c>
      <c r="G330" s="105">
        <f t="shared" si="50"/>
        <v>13771.35</v>
      </c>
      <c r="I330" s="101" t="s">
        <v>768</v>
      </c>
      <c r="T330" s="106">
        <f>-107.13-231.86</f>
        <v>-338.99</v>
      </c>
    </row>
    <row r="331" spans="2:20">
      <c r="B331" s="102">
        <v>0</v>
      </c>
      <c r="C331" s="103"/>
      <c r="D331" s="128"/>
      <c r="E331" s="105"/>
      <c r="F331" s="105"/>
      <c r="G331" s="105"/>
    </row>
    <row r="332" spans="2:20">
      <c r="B332" s="102">
        <v>0</v>
      </c>
      <c r="C332" s="134" t="s">
        <v>712</v>
      </c>
      <c r="D332" s="134" t="s">
        <v>713</v>
      </c>
      <c r="E332" s="105"/>
      <c r="F332" s="105"/>
      <c r="G332" s="105"/>
    </row>
    <row r="333" spans="2:20">
      <c r="B333" s="110" t="s">
        <v>418</v>
      </c>
      <c r="C333" s="139">
        <v>551</v>
      </c>
      <c r="D333" s="112" t="s">
        <v>714</v>
      </c>
      <c r="E333" s="105">
        <f>ROUND(SUMIF('zdroj HK'!A:A,C333,'zdroj HK'!B:B),2)</f>
        <v>5560.86</v>
      </c>
      <c r="F333" s="105"/>
      <c r="G333" s="105">
        <f t="shared" ref="G333:G340" si="51">E333+F333</f>
        <v>5560.86</v>
      </c>
      <c r="I333" s="101" t="s">
        <v>768</v>
      </c>
    </row>
    <row r="334" spans="2:20">
      <c r="B334" s="110" t="s">
        <v>344</v>
      </c>
      <c r="C334" s="139">
        <v>552</v>
      </c>
      <c r="D334" s="112" t="s">
        <v>715</v>
      </c>
      <c r="E334" s="105">
        <f>ROUND(SUMIF('zdroj HK'!A:A,C334,'zdroj HK'!B:B),2)</f>
        <v>50126.73</v>
      </c>
      <c r="F334" s="105"/>
      <c r="G334" s="105">
        <f t="shared" si="51"/>
        <v>50126.73</v>
      </c>
      <c r="I334" s="101" t="s">
        <v>768</v>
      </c>
    </row>
    <row r="335" spans="2:20">
      <c r="B335" s="110" t="s">
        <v>341</v>
      </c>
      <c r="C335" s="139">
        <v>553</v>
      </c>
      <c r="D335" s="112" t="s">
        <v>340</v>
      </c>
      <c r="E335" s="105">
        <f>ROUND(SUMIF('zdroj HK'!A:A,C335,'zdroj HK'!B:B),2)</f>
        <v>0</v>
      </c>
      <c r="F335" s="105"/>
      <c r="G335" s="105">
        <f t="shared" si="51"/>
        <v>0</v>
      </c>
      <c r="I335" s="101" t="s">
        <v>768</v>
      </c>
    </row>
    <row r="336" spans="2:20">
      <c r="B336" s="110" t="s">
        <v>338</v>
      </c>
      <c r="C336" s="139">
        <v>554</v>
      </c>
      <c r="D336" s="112" t="s">
        <v>337</v>
      </c>
      <c r="E336" s="105">
        <f>ROUND(SUMIF('zdroj HK'!A:A,C336,'zdroj HK'!B:B),2)</f>
        <v>339207.44</v>
      </c>
      <c r="F336" s="105"/>
      <c r="G336" s="105">
        <f t="shared" si="51"/>
        <v>339207.44</v>
      </c>
      <c r="I336" s="101" t="s">
        <v>768</v>
      </c>
    </row>
    <row r="337" spans="2:16">
      <c r="B337" s="110" t="s">
        <v>335</v>
      </c>
      <c r="C337" s="139">
        <v>555</v>
      </c>
      <c r="D337" s="112" t="s">
        <v>334</v>
      </c>
      <c r="E337" s="105">
        <f>ROUND(SUMIF('zdroj HK'!A:A,C337,'zdroj HK'!B:B),2)</f>
        <v>0</v>
      </c>
      <c r="F337" s="105"/>
      <c r="G337" s="105">
        <f t="shared" si="51"/>
        <v>0</v>
      </c>
      <c r="I337" s="101" t="s">
        <v>768</v>
      </c>
    </row>
    <row r="338" spans="2:16">
      <c r="B338" s="110" t="s">
        <v>332</v>
      </c>
      <c r="C338" s="139">
        <v>556</v>
      </c>
      <c r="D338" s="112" t="s">
        <v>331</v>
      </c>
      <c r="E338" s="105">
        <f>ROUND(SUMIF('zdroj HK'!A:A,C338,'zdroj HK'!B:B),2)</f>
        <v>0</v>
      </c>
      <c r="F338" s="105"/>
      <c r="G338" s="105">
        <f t="shared" si="51"/>
        <v>0</v>
      </c>
      <c r="I338" s="101" t="s">
        <v>768</v>
      </c>
    </row>
    <row r="339" spans="2:16">
      <c r="B339" s="110" t="s">
        <v>329</v>
      </c>
      <c r="C339" s="139">
        <v>557</v>
      </c>
      <c r="D339" s="112" t="s">
        <v>716</v>
      </c>
      <c r="E339" s="105">
        <f>ROUND(SUMIF('zdroj HK'!A:A,C339,'zdroj HK'!B:B),2)</f>
        <v>0</v>
      </c>
      <c r="F339" s="105"/>
      <c r="G339" s="105">
        <f t="shared" si="51"/>
        <v>0</v>
      </c>
      <c r="I339" s="101" t="s">
        <v>768</v>
      </c>
    </row>
    <row r="340" spans="2:16">
      <c r="B340" s="110" t="s">
        <v>326</v>
      </c>
      <c r="C340" s="139">
        <v>558</v>
      </c>
      <c r="D340" s="112" t="s">
        <v>717</v>
      </c>
      <c r="E340" s="105">
        <f>ROUND(SUMIF('zdroj HK'!A:A,C340,'zdroj HK'!B:B),2)</f>
        <v>-224.15</v>
      </c>
      <c r="F340" s="105"/>
      <c r="G340" s="105">
        <f t="shared" si="51"/>
        <v>-224.15</v>
      </c>
      <c r="I340" s="101" t="s">
        <v>768</v>
      </c>
    </row>
    <row r="341" spans="2:16">
      <c r="B341" s="102">
        <v>0</v>
      </c>
      <c r="C341" s="103"/>
      <c r="D341" s="139"/>
      <c r="E341" s="105"/>
      <c r="F341" s="105"/>
      <c r="G341" s="105"/>
    </row>
    <row r="342" spans="2:16">
      <c r="B342" s="102">
        <v>0</v>
      </c>
      <c r="C342" s="145" t="s">
        <v>718</v>
      </c>
      <c r="D342" s="145" t="s">
        <v>719</v>
      </c>
      <c r="E342" s="105"/>
      <c r="F342" s="105"/>
      <c r="G342" s="105"/>
    </row>
    <row r="343" spans="2:16">
      <c r="B343" s="110" t="s">
        <v>323</v>
      </c>
      <c r="C343" s="139">
        <v>561</v>
      </c>
      <c r="D343" s="112" t="s">
        <v>322</v>
      </c>
      <c r="E343" s="105">
        <f>ROUND(SUMIF('zdroj HK'!A:A,C343,'zdroj HK'!B:B),2)</f>
        <v>0</v>
      </c>
      <c r="F343" s="105"/>
      <c r="G343" s="105">
        <f t="shared" ref="G343:G347" si="52">E343+F343</f>
        <v>0</v>
      </c>
      <c r="I343" s="101" t="s">
        <v>768</v>
      </c>
    </row>
    <row r="344" spans="2:16">
      <c r="B344" s="110" t="s">
        <v>320</v>
      </c>
      <c r="C344" s="139">
        <v>562</v>
      </c>
      <c r="D344" s="112" t="s">
        <v>319</v>
      </c>
      <c r="E344" s="105">
        <f>ROUND(SUMIF('zdroj HK'!A:A,C344,'zdroj HK'!B:B),2)</f>
        <v>0</v>
      </c>
      <c r="F344" s="105"/>
      <c r="G344" s="105">
        <f t="shared" si="52"/>
        <v>0</v>
      </c>
      <c r="I344" s="101" t="s">
        <v>768</v>
      </c>
    </row>
    <row r="345" spans="2:16">
      <c r="B345" s="110" t="s">
        <v>317</v>
      </c>
      <c r="C345" s="139">
        <v>563</v>
      </c>
      <c r="D345" s="112" t="s">
        <v>316</v>
      </c>
      <c r="E345" s="105">
        <f>ROUND(SUMIF('zdroj HK'!A:A,C345,'zdroj HK'!B:B),2)</f>
        <v>0</v>
      </c>
      <c r="F345" s="105"/>
      <c r="G345" s="105">
        <f t="shared" si="52"/>
        <v>0</v>
      </c>
      <c r="I345" s="101" t="s">
        <v>768</v>
      </c>
    </row>
    <row r="346" spans="2:16">
      <c r="B346" s="110" t="s">
        <v>419</v>
      </c>
      <c r="C346" s="139">
        <v>565</v>
      </c>
      <c r="D346" s="112" t="s">
        <v>720</v>
      </c>
      <c r="E346" s="105">
        <f>ROUND(SUMIF('zdroj HK'!A:A,C346,'zdroj HK'!B:B),2)</f>
        <v>0</v>
      </c>
      <c r="F346" s="105"/>
      <c r="G346" s="105">
        <f t="shared" si="52"/>
        <v>0</v>
      </c>
      <c r="I346" s="101" t="s">
        <v>768</v>
      </c>
    </row>
    <row r="347" spans="2:16">
      <c r="B347" s="110" t="s">
        <v>312</v>
      </c>
      <c r="C347" s="139">
        <v>567</v>
      </c>
      <c r="D347" s="112" t="s">
        <v>721</v>
      </c>
      <c r="E347" s="105">
        <f>ROUND(SUMIF('zdroj HK'!A:A,C347,'zdroj HK'!B:B),2)</f>
        <v>0</v>
      </c>
      <c r="F347" s="105"/>
      <c r="G347" s="105">
        <f t="shared" si="52"/>
        <v>0</v>
      </c>
      <c r="I347" s="101" t="s">
        <v>768</v>
      </c>
    </row>
    <row r="348" spans="2:16">
      <c r="B348" s="102">
        <v>0</v>
      </c>
      <c r="C348" s="103"/>
      <c r="D348" s="139"/>
      <c r="E348" s="105"/>
      <c r="F348" s="105"/>
      <c r="G348" s="105"/>
    </row>
    <row r="349" spans="2:16">
      <c r="B349" s="102">
        <v>0</v>
      </c>
      <c r="C349" s="134" t="s">
        <v>722</v>
      </c>
      <c r="D349" s="112"/>
      <c r="E349" s="105"/>
      <c r="F349" s="105"/>
      <c r="G349" s="105"/>
    </row>
    <row r="350" spans="2:16">
      <c r="B350" s="102">
        <v>0</v>
      </c>
      <c r="C350" s="134"/>
      <c r="D350" s="112"/>
      <c r="E350" s="105"/>
      <c r="F350" s="105"/>
      <c r="G350" s="105"/>
    </row>
    <row r="351" spans="2:16">
      <c r="B351" s="102">
        <v>0</v>
      </c>
      <c r="C351" s="134" t="s">
        <v>723</v>
      </c>
      <c r="D351" s="134" t="s">
        <v>724</v>
      </c>
      <c r="E351" s="105"/>
      <c r="F351" s="105"/>
      <c r="G351" s="105"/>
    </row>
    <row r="352" spans="2:16">
      <c r="B352" s="110" t="s">
        <v>192</v>
      </c>
      <c r="C352" s="139">
        <v>591</v>
      </c>
      <c r="D352" s="112" t="s">
        <v>724</v>
      </c>
      <c r="E352" s="105">
        <f>ROUND(SUMIF('zdroj HK'!A:A,C352,'zdroj HK'!B:B),2)</f>
        <v>0</v>
      </c>
      <c r="F352" s="105"/>
      <c r="G352" s="105">
        <f t="shared" ref="G352:G353" si="53">E352+F352</f>
        <v>0</v>
      </c>
      <c r="I352" s="101" t="s">
        <v>768</v>
      </c>
      <c r="P352" s="287"/>
    </row>
    <row r="353" spans="2:19">
      <c r="B353" s="110" t="s">
        <v>189</v>
      </c>
      <c r="C353" s="139">
        <v>595</v>
      </c>
      <c r="D353" s="112" t="s">
        <v>725</v>
      </c>
      <c r="E353" s="105">
        <f>ROUND(SUMIF('zdroj HK'!A:A,C353,'zdroj HK'!B:B),2)</f>
        <v>0</v>
      </c>
      <c r="F353" s="105"/>
      <c r="G353" s="105">
        <f t="shared" si="53"/>
        <v>0</v>
      </c>
      <c r="I353" s="101" t="s">
        <v>768</v>
      </c>
    </row>
    <row r="354" spans="2:19">
      <c r="B354" s="102">
        <v>0</v>
      </c>
      <c r="C354" s="103"/>
      <c r="D354" s="122"/>
      <c r="E354" s="105"/>
      <c r="F354" s="105"/>
      <c r="G354" s="105"/>
    </row>
    <row r="355" spans="2:19">
      <c r="B355" s="102">
        <v>0</v>
      </c>
      <c r="C355" s="123" t="s">
        <v>726</v>
      </c>
      <c r="D355" s="108" t="s">
        <v>306</v>
      </c>
      <c r="E355" s="105"/>
      <c r="F355" s="105"/>
      <c r="G355" s="105"/>
    </row>
    <row r="356" spans="2:19">
      <c r="B356" s="102">
        <v>0</v>
      </c>
      <c r="C356" s="122"/>
      <c r="D356" s="112"/>
      <c r="E356" s="105"/>
      <c r="F356" s="105"/>
      <c r="G356" s="105"/>
    </row>
    <row r="357" spans="2:19">
      <c r="B357" s="102">
        <v>0</v>
      </c>
      <c r="C357" s="134" t="s">
        <v>727</v>
      </c>
      <c r="D357" s="134" t="s">
        <v>728</v>
      </c>
      <c r="E357" s="105"/>
      <c r="F357" s="105"/>
      <c r="G357" s="105"/>
    </row>
    <row r="358" spans="2:19">
      <c r="B358" s="110" t="s">
        <v>300</v>
      </c>
      <c r="C358" s="139">
        <v>601</v>
      </c>
      <c r="D358" s="112" t="s">
        <v>299</v>
      </c>
      <c r="E358" s="105">
        <f>ROUND(SUMIF('zdroj HK'!A:A,C358,'zdroj HK'!B:B),2)</f>
        <v>0</v>
      </c>
      <c r="F358" s="105"/>
      <c r="G358" s="105">
        <f t="shared" ref="G358:G360" si="54">E358+F358</f>
        <v>0</v>
      </c>
      <c r="I358" s="101" t="s">
        <v>768</v>
      </c>
    </row>
    <row r="359" spans="2:19">
      <c r="B359" s="110" t="s">
        <v>297</v>
      </c>
      <c r="C359" s="139">
        <v>602</v>
      </c>
      <c r="D359" s="112" t="s">
        <v>729</v>
      </c>
      <c r="E359" s="105">
        <f>ROUND(SUMIF('zdroj HK'!A:A,C359,'zdroj HK'!B:B),2)</f>
        <v>-5624868.0599999996</v>
      </c>
      <c r="F359" s="105">
        <f>+S359</f>
        <v>-13810.34</v>
      </c>
      <c r="G359" s="105">
        <f t="shared" si="54"/>
        <v>-5638678.3999999994</v>
      </c>
      <c r="I359" s="101" t="s">
        <v>768</v>
      </c>
      <c r="S359" s="106">
        <v>-13810.34</v>
      </c>
    </row>
    <row r="360" spans="2:19">
      <c r="B360" s="110" t="s">
        <v>294</v>
      </c>
      <c r="C360" s="139">
        <v>604</v>
      </c>
      <c r="D360" s="112" t="s">
        <v>417</v>
      </c>
      <c r="E360" s="105">
        <f>ROUND(SUMIF('zdroj HK'!A:A,C360,'zdroj HK'!B:B),2)</f>
        <v>0</v>
      </c>
      <c r="F360" s="105"/>
      <c r="G360" s="105">
        <f t="shared" si="54"/>
        <v>0</v>
      </c>
      <c r="I360" s="101" t="s">
        <v>768</v>
      </c>
    </row>
    <row r="361" spans="2:19">
      <c r="B361" s="102">
        <v>0</v>
      </c>
      <c r="C361" s="139"/>
      <c r="D361" s="112"/>
      <c r="E361" s="105"/>
      <c r="F361" s="105"/>
      <c r="G361" s="105"/>
    </row>
    <row r="362" spans="2:19">
      <c r="B362" s="102">
        <v>0</v>
      </c>
      <c r="C362" s="134" t="s">
        <v>730</v>
      </c>
      <c r="D362" s="134" t="s">
        <v>731</v>
      </c>
      <c r="E362" s="105"/>
      <c r="F362" s="105"/>
      <c r="G362" s="105"/>
    </row>
    <row r="363" spans="2:19">
      <c r="B363" s="110" t="s">
        <v>292</v>
      </c>
      <c r="C363" s="139">
        <v>611</v>
      </c>
      <c r="D363" s="112" t="s">
        <v>291</v>
      </c>
      <c r="E363" s="105">
        <f>ROUND(SUMIF('zdroj HK'!A:A,C363,'zdroj HK'!B:B),2)</f>
        <v>0</v>
      </c>
      <c r="F363" s="105"/>
      <c r="G363" s="105">
        <f t="shared" ref="G363:G366" si="55">E363+F363</f>
        <v>0</v>
      </c>
      <c r="I363" s="101" t="s">
        <v>768</v>
      </c>
    </row>
    <row r="364" spans="2:19">
      <c r="B364" s="110" t="s">
        <v>289</v>
      </c>
      <c r="C364" s="139">
        <v>612</v>
      </c>
      <c r="D364" s="112" t="s">
        <v>288</v>
      </c>
      <c r="E364" s="105">
        <f>ROUND(SUMIF('zdroj HK'!A:A,C364,'zdroj HK'!B:B),2)</f>
        <v>0</v>
      </c>
      <c r="F364" s="105"/>
      <c r="G364" s="105">
        <f t="shared" si="55"/>
        <v>0</v>
      </c>
      <c r="I364" s="101" t="s">
        <v>768</v>
      </c>
    </row>
    <row r="365" spans="2:19">
      <c r="B365" s="110" t="s">
        <v>286</v>
      </c>
      <c r="C365" s="139">
        <v>613</v>
      </c>
      <c r="D365" s="112" t="s">
        <v>285</v>
      </c>
      <c r="E365" s="105">
        <f>ROUND(SUMIF('zdroj HK'!A:A,C365,'zdroj HK'!B:B),2)</f>
        <v>0</v>
      </c>
      <c r="F365" s="105"/>
      <c r="G365" s="105">
        <f t="shared" si="55"/>
        <v>0</v>
      </c>
      <c r="I365" s="101" t="s">
        <v>768</v>
      </c>
    </row>
    <row r="366" spans="2:19">
      <c r="B366" s="110" t="s">
        <v>283</v>
      </c>
      <c r="C366" s="139">
        <v>614</v>
      </c>
      <c r="D366" s="112" t="s">
        <v>282</v>
      </c>
      <c r="E366" s="105">
        <f>ROUND(SUMIF('zdroj HK'!A:A,C366,'zdroj HK'!B:B),2)</f>
        <v>0</v>
      </c>
      <c r="F366" s="105"/>
      <c r="G366" s="105">
        <f t="shared" si="55"/>
        <v>0</v>
      </c>
      <c r="I366" s="101" t="s">
        <v>768</v>
      </c>
    </row>
    <row r="367" spans="2:19">
      <c r="B367" s="102">
        <v>0</v>
      </c>
      <c r="C367" s="103"/>
      <c r="D367" s="139"/>
      <c r="E367" s="105"/>
      <c r="F367" s="105"/>
      <c r="G367" s="105"/>
    </row>
    <row r="368" spans="2:19">
      <c r="B368" s="102">
        <v>0</v>
      </c>
      <c r="C368" s="134" t="s">
        <v>732</v>
      </c>
      <c r="D368" s="134" t="s">
        <v>733</v>
      </c>
      <c r="E368" s="105"/>
      <c r="F368" s="105"/>
      <c r="G368" s="105"/>
    </row>
    <row r="369" spans="2:9">
      <c r="B369" s="110" t="s">
        <v>280</v>
      </c>
      <c r="C369" s="139">
        <v>621</v>
      </c>
      <c r="D369" s="112" t="s">
        <v>734</v>
      </c>
      <c r="E369" s="105">
        <f>ROUND(SUMIF('zdroj HK'!A:A,C369,'zdroj HK'!B:B),2)</f>
        <v>-162173.09</v>
      </c>
      <c r="F369" s="105"/>
      <c r="G369" s="105">
        <f t="shared" ref="G369:G372" si="56">E369+F369</f>
        <v>-162173.09</v>
      </c>
      <c r="I369" s="101" t="s">
        <v>768</v>
      </c>
    </row>
    <row r="370" spans="2:9">
      <c r="B370" s="110" t="s">
        <v>277</v>
      </c>
      <c r="C370" s="139">
        <v>622</v>
      </c>
      <c r="D370" s="112" t="s">
        <v>735</v>
      </c>
      <c r="E370" s="105">
        <f>ROUND(SUMIF('zdroj HK'!A:A,C370,'zdroj HK'!B:B),2)</f>
        <v>0</v>
      </c>
      <c r="F370" s="105"/>
      <c r="G370" s="105">
        <f t="shared" si="56"/>
        <v>0</v>
      </c>
      <c r="I370" s="101" t="s">
        <v>768</v>
      </c>
    </row>
    <row r="371" spans="2:9">
      <c r="B371" s="110" t="s">
        <v>274</v>
      </c>
      <c r="C371" s="139">
        <v>623</v>
      </c>
      <c r="D371" s="112" t="s">
        <v>273</v>
      </c>
      <c r="E371" s="105">
        <f>ROUND(SUMIF('zdroj HK'!A:A,C371,'zdroj HK'!B:B),2)</f>
        <v>0</v>
      </c>
      <c r="F371" s="105"/>
      <c r="G371" s="105">
        <f t="shared" si="56"/>
        <v>0</v>
      </c>
      <c r="I371" s="101" t="s">
        <v>768</v>
      </c>
    </row>
    <row r="372" spans="2:9">
      <c r="B372" s="110" t="s">
        <v>271</v>
      </c>
      <c r="C372" s="139">
        <v>624</v>
      </c>
      <c r="D372" s="112" t="s">
        <v>270</v>
      </c>
      <c r="E372" s="105">
        <f>ROUND(SUMIF('zdroj HK'!A:A,C372,'zdroj HK'!B:B),2)</f>
        <v>0</v>
      </c>
      <c r="F372" s="105"/>
      <c r="G372" s="105">
        <f t="shared" si="56"/>
        <v>0</v>
      </c>
      <c r="I372" s="101" t="s">
        <v>768</v>
      </c>
    </row>
    <row r="373" spans="2:9">
      <c r="B373" s="102">
        <v>0</v>
      </c>
      <c r="C373" s="103"/>
      <c r="D373" s="139"/>
      <c r="E373" s="105"/>
      <c r="F373" s="105"/>
      <c r="G373" s="105"/>
    </row>
    <row r="374" spans="2:9">
      <c r="B374" s="102">
        <v>0</v>
      </c>
      <c r="C374" s="134" t="s">
        <v>736</v>
      </c>
      <c r="D374" s="134" t="s">
        <v>493</v>
      </c>
      <c r="E374" s="105"/>
      <c r="F374" s="105"/>
      <c r="G374" s="105"/>
    </row>
    <row r="375" spans="2:9">
      <c r="B375" s="110" t="s">
        <v>268</v>
      </c>
      <c r="C375" s="139">
        <v>641</v>
      </c>
      <c r="D375" s="112" t="s">
        <v>709</v>
      </c>
      <c r="E375" s="105">
        <f>ROUND(SUMIF('zdroj HK'!A:A,C375,'zdroj HK'!B:B),2)</f>
        <v>0</v>
      </c>
      <c r="F375" s="105"/>
      <c r="G375" s="105">
        <f t="shared" ref="G375:G383" si="57">E375+F375</f>
        <v>0</v>
      </c>
      <c r="I375" s="101" t="s">
        <v>768</v>
      </c>
    </row>
    <row r="376" spans="2:9">
      <c r="B376" s="110" t="s">
        <v>265</v>
      </c>
      <c r="C376" s="139">
        <v>642</v>
      </c>
      <c r="D376" s="112" t="s">
        <v>710</v>
      </c>
      <c r="E376" s="105">
        <f>ROUND(SUMIF('zdroj HK'!A:A,C376,'zdroj HK'!B:B),2)</f>
        <v>0</v>
      </c>
      <c r="F376" s="105"/>
      <c r="G376" s="105">
        <f t="shared" si="57"/>
        <v>0</v>
      </c>
      <c r="I376" s="101" t="s">
        <v>768</v>
      </c>
    </row>
    <row r="377" spans="2:9">
      <c r="B377" s="110" t="s">
        <v>262</v>
      </c>
      <c r="C377" s="139">
        <v>643</v>
      </c>
      <c r="D377" s="112" t="s">
        <v>261</v>
      </c>
      <c r="E377" s="105">
        <f>ROUND(SUMIF('zdroj HK'!A:A,C377,'zdroj HK'!B:B),2)</f>
        <v>0</v>
      </c>
      <c r="F377" s="105"/>
      <c r="G377" s="105">
        <f t="shared" si="57"/>
        <v>0</v>
      </c>
      <c r="I377" s="101" t="s">
        <v>768</v>
      </c>
    </row>
    <row r="378" spans="2:9">
      <c r="B378" s="110" t="s">
        <v>259</v>
      </c>
      <c r="C378" s="139">
        <v>644</v>
      </c>
      <c r="D378" s="112" t="s">
        <v>258</v>
      </c>
      <c r="E378" s="105">
        <f>ROUND(SUMIF('zdroj HK'!A:A,C378,'zdroj HK'!B:B),2)</f>
        <v>-33.619999999999997</v>
      </c>
      <c r="F378" s="137"/>
      <c r="G378" s="105">
        <f t="shared" si="57"/>
        <v>-33.619999999999997</v>
      </c>
      <c r="I378" s="101" t="s">
        <v>768</v>
      </c>
    </row>
    <row r="379" spans="2:9">
      <c r="B379" s="110" t="s">
        <v>256</v>
      </c>
      <c r="C379" s="139">
        <v>645</v>
      </c>
      <c r="D379" s="112" t="s">
        <v>255</v>
      </c>
      <c r="E379" s="105">
        <f>ROUND(SUMIF('zdroj HK'!A:A,C379,'zdroj HK'!B:B),2)</f>
        <v>0</v>
      </c>
      <c r="F379" s="105"/>
      <c r="G379" s="105">
        <f t="shared" si="57"/>
        <v>0</v>
      </c>
      <c r="I379" s="101" t="s">
        <v>768</v>
      </c>
    </row>
    <row r="380" spans="2:9">
      <c r="B380" s="110" t="s">
        <v>253</v>
      </c>
      <c r="C380" s="139">
        <v>646</v>
      </c>
      <c r="D380" s="112" t="s">
        <v>252</v>
      </c>
      <c r="E380" s="105">
        <f>ROUND(SUMIF('zdroj HK'!A:A,C380,'zdroj HK'!B:B),2)</f>
        <v>-6128.6</v>
      </c>
      <c r="F380" s="105"/>
      <c r="G380" s="105">
        <f t="shared" si="57"/>
        <v>-6128.6</v>
      </c>
      <c r="I380" s="101" t="s">
        <v>768</v>
      </c>
    </row>
    <row r="381" spans="2:9">
      <c r="B381" s="110" t="s">
        <v>250</v>
      </c>
      <c r="C381" s="139">
        <v>647</v>
      </c>
      <c r="D381" s="112" t="s">
        <v>249</v>
      </c>
      <c r="E381" s="105">
        <f>ROUND(SUMIF('zdroj HK'!A:A,C381,'zdroj HK'!B:B),2)</f>
        <v>0</v>
      </c>
      <c r="F381" s="105"/>
      <c r="G381" s="105">
        <f t="shared" si="57"/>
        <v>0</v>
      </c>
      <c r="I381" s="101" t="s">
        <v>768</v>
      </c>
    </row>
    <row r="382" spans="2:9">
      <c r="B382" s="110" t="s">
        <v>247</v>
      </c>
      <c r="C382" s="139">
        <v>648</v>
      </c>
      <c r="D382" s="112" t="s">
        <v>737</v>
      </c>
      <c r="E382" s="105">
        <f>ROUND(SUMIF('zdroj HK'!A:A,C382,'zdroj HK'!B:B),2)</f>
        <v>0</v>
      </c>
      <c r="F382" s="105"/>
      <c r="G382" s="105">
        <f t="shared" si="57"/>
        <v>0</v>
      </c>
      <c r="I382" s="101" t="s">
        <v>768</v>
      </c>
    </row>
    <row r="383" spans="2:9">
      <c r="B383" s="110" t="s">
        <v>244</v>
      </c>
      <c r="C383" s="139">
        <v>649</v>
      </c>
      <c r="D383" s="112" t="s">
        <v>243</v>
      </c>
      <c r="E383" s="105">
        <f>ROUND(SUMIF('zdroj HK'!A:A,C383,'zdroj HK'!B:B),2)</f>
        <v>-52243.94</v>
      </c>
      <c r="F383" s="105"/>
      <c r="G383" s="105">
        <f t="shared" si="57"/>
        <v>-52243.94</v>
      </c>
      <c r="I383" s="101" t="s">
        <v>768</v>
      </c>
    </row>
    <row r="384" spans="2:9">
      <c r="B384" s="102">
        <v>0</v>
      </c>
      <c r="C384" s="139"/>
      <c r="D384" s="112"/>
      <c r="E384" s="105"/>
      <c r="F384" s="105"/>
      <c r="G384" s="105"/>
    </row>
    <row r="385" spans="2:9">
      <c r="B385" s="102">
        <v>0</v>
      </c>
      <c r="C385" s="134" t="s">
        <v>738</v>
      </c>
      <c r="D385" s="134" t="s">
        <v>739</v>
      </c>
      <c r="E385" s="105"/>
      <c r="F385" s="105"/>
      <c r="G385" s="105"/>
    </row>
    <row r="386" spans="2:9">
      <c r="B386" s="110" t="s">
        <v>241</v>
      </c>
      <c r="C386" s="139">
        <v>651</v>
      </c>
      <c r="D386" s="112" t="s">
        <v>740</v>
      </c>
      <c r="E386" s="105">
        <f>ROUND(SUMIF('zdroj HK'!A:A,C386,'zdroj HK'!B:B),2)</f>
        <v>-47078.74</v>
      </c>
      <c r="F386" s="105"/>
      <c r="G386" s="105">
        <f t="shared" ref="G386:G393" si="58">E386+F386</f>
        <v>-47078.74</v>
      </c>
      <c r="I386" s="101" t="s">
        <v>768</v>
      </c>
    </row>
    <row r="387" spans="2:9">
      <c r="B387" s="110" t="s">
        <v>238</v>
      </c>
      <c r="C387" s="139">
        <v>652</v>
      </c>
      <c r="D387" s="112" t="s">
        <v>741</v>
      </c>
      <c r="E387" s="105">
        <f>ROUND(SUMIF('zdroj HK'!A:A,C387,'zdroj HK'!B:B),2)</f>
        <v>0</v>
      </c>
      <c r="F387" s="105"/>
      <c r="G387" s="105">
        <f t="shared" si="58"/>
        <v>0</v>
      </c>
      <c r="I387" s="101" t="s">
        <v>768</v>
      </c>
    </row>
    <row r="388" spans="2:9">
      <c r="B388" s="110" t="s">
        <v>235</v>
      </c>
      <c r="C388" s="139">
        <v>653</v>
      </c>
      <c r="D388" s="112" t="s">
        <v>742</v>
      </c>
      <c r="E388" s="105">
        <f>ROUND(SUMIF('zdroj HK'!A:A,C388,'zdroj HK'!B:B),2)</f>
        <v>0</v>
      </c>
      <c r="F388" s="105"/>
      <c r="G388" s="105">
        <f t="shared" si="58"/>
        <v>0</v>
      </c>
      <c r="I388" s="101" t="s">
        <v>768</v>
      </c>
    </row>
    <row r="389" spans="2:9">
      <c r="B389" s="110" t="s">
        <v>232</v>
      </c>
      <c r="C389" s="139">
        <v>654</v>
      </c>
      <c r="D389" s="112" t="s">
        <v>743</v>
      </c>
      <c r="E389" s="105">
        <f>ROUND(SUMIF('zdroj HK'!A:A,C389,'zdroj HK'!B:B),2)</f>
        <v>-348644.04</v>
      </c>
      <c r="F389" s="105"/>
      <c r="G389" s="105">
        <f t="shared" si="58"/>
        <v>-348644.04</v>
      </c>
      <c r="I389" s="101" t="s">
        <v>768</v>
      </c>
    </row>
    <row r="390" spans="2:9">
      <c r="B390" s="110" t="s">
        <v>229</v>
      </c>
      <c r="C390" s="139">
        <v>655</v>
      </c>
      <c r="D390" s="112" t="s">
        <v>744</v>
      </c>
      <c r="E390" s="105">
        <f>ROUND(SUMIF('zdroj HK'!A:A,C390,'zdroj HK'!B:B),2)</f>
        <v>0</v>
      </c>
      <c r="F390" s="105"/>
      <c r="G390" s="105">
        <f t="shared" si="58"/>
        <v>0</v>
      </c>
      <c r="I390" s="101" t="s">
        <v>768</v>
      </c>
    </row>
    <row r="391" spans="2:9">
      <c r="B391" s="110" t="s">
        <v>226</v>
      </c>
      <c r="C391" s="139">
        <v>656</v>
      </c>
      <c r="D391" s="112" t="s">
        <v>745</v>
      </c>
      <c r="E391" s="105">
        <f>ROUND(SUMIF('zdroj HK'!A:A,C391,'zdroj HK'!B:B),2)</f>
        <v>-11141.26</v>
      </c>
      <c r="F391" s="105"/>
      <c r="G391" s="105">
        <f t="shared" si="58"/>
        <v>-11141.26</v>
      </c>
      <c r="I391" s="101" t="s">
        <v>768</v>
      </c>
    </row>
    <row r="392" spans="2:9">
      <c r="B392" s="110" t="s">
        <v>223</v>
      </c>
      <c r="C392" s="139">
        <v>657</v>
      </c>
      <c r="D392" s="112" t="s">
        <v>746</v>
      </c>
      <c r="E392" s="105">
        <f>ROUND(SUMIF('zdroj HK'!A:A,C392,'zdroj HK'!B:B),2)</f>
        <v>0</v>
      </c>
      <c r="F392" s="105"/>
      <c r="G392" s="105">
        <f t="shared" si="58"/>
        <v>0</v>
      </c>
      <c r="I392" s="101" t="s">
        <v>768</v>
      </c>
    </row>
    <row r="393" spans="2:9">
      <c r="B393" s="110" t="s">
        <v>220</v>
      </c>
      <c r="C393" s="139">
        <v>658</v>
      </c>
      <c r="D393" s="112" t="s">
        <v>747</v>
      </c>
      <c r="E393" s="105">
        <f>ROUND(SUMIF('zdroj HK'!A:A,C393,'zdroj HK'!B:B),2)</f>
        <v>0</v>
      </c>
      <c r="F393" s="105"/>
      <c r="G393" s="105">
        <f t="shared" si="58"/>
        <v>0</v>
      </c>
      <c r="I393" s="101" t="s">
        <v>768</v>
      </c>
    </row>
    <row r="394" spans="2:9">
      <c r="B394" s="102">
        <v>0</v>
      </c>
      <c r="C394" s="103"/>
      <c r="D394" s="139"/>
      <c r="E394" s="105"/>
      <c r="F394" s="105"/>
      <c r="G394" s="105"/>
    </row>
    <row r="395" spans="2:9">
      <c r="B395" s="102">
        <v>0</v>
      </c>
      <c r="C395" s="134" t="s">
        <v>748</v>
      </c>
      <c r="D395" s="134" t="s">
        <v>749</v>
      </c>
      <c r="E395" s="105"/>
      <c r="F395" s="105"/>
      <c r="G395" s="105"/>
    </row>
    <row r="396" spans="2:9">
      <c r="B396" s="110" t="s">
        <v>217</v>
      </c>
      <c r="C396" s="139">
        <v>661</v>
      </c>
      <c r="D396" s="112" t="s">
        <v>216</v>
      </c>
      <c r="E396" s="105">
        <f>ROUND(SUMIF('zdroj HK'!A:A,C396,'zdroj HK'!B:B),2)</f>
        <v>0</v>
      </c>
      <c r="F396" s="105"/>
      <c r="G396" s="105">
        <f t="shared" ref="G396:G401" si="59">E396+F396</f>
        <v>0</v>
      </c>
      <c r="I396" s="101" t="s">
        <v>768</v>
      </c>
    </row>
    <row r="397" spans="2:9">
      <c r="B397" s="110" t="s">
        <v>214</v>
      </c>
      <c r="C397" s="139">
        <v>662</v>
      </c>
      <c r="D397" s="112" t="s">
        <v>213</v>
      </c>
      <c r="E397" s="105">
        <f>ROUND(SUMIF('zdroj HK'!A:A,C397,'zdroj HK'!B:B),2)</f>
        <v>0</v>
      </c>
      <c r="F397" s="105"/>
      <c r="G397" s="105">
        <f t="shared" si="59"/>
        <v>0</v>
      </c>
      <c r="I397" s="101" t="s">
        <v>768</v>
      </c>
    </row>
    <row r="398" spans="2:9">
      <c r="B398" s="110" t="s">
        <v>211</v>
      </c>
      <c r="C398" s="139">
        <v>663</v>
      </c>
      <c r="D398" s="112" t="s">
        <v>210</v>
      </c>
      <c r="E398" s="105">
        <f>ROUND(SUMIF('zdroj HK'!A:A,C398,'zdroj HK'!B:B),2)</f>
        <v>0</v>
      </c>
      <c r="F398" s="105"/>
      <c r="G398" s="105">
        <f t="shared" si="59"/>
        <v>0</v>
      </c>
      <c r="I398" s="101" t="s">
        <v>768</v>
      </c>
    </row>
    <row r="399" spans="2:9">
      <c r="B399" s="110" t="s">
        <v>208</v>
      </c>
      <c r="C399" s="139">
        <v>664</v>
      </c>
      <c r="D399" s="112" t="s">
        <v>207</v>
      </c>
      <c r="E399" s="105">
        <f>ROUND(SUMIF('zdroj HK'!A:A,C399,'zdroj HK'!B:B),2)</f>
        <v>0</v>
      </c>
      <c r="F399" s="105"/>
      <c r="G399" s="105">
        <f t="shared" si="59"/>
        <v>0</v>
      </c>
      <c r="I399" s="101" t="s">
        <v>768</v>
      </c>
    </row>
    <row r="400" spans="2:9">
      <c r="B400" s="110" t="s">
        <v>205</v>
      </c>
      <c r="C400" s="139">
        <v>665</v>
      </c>
      <c r="D400" s="112" t="s">
        <v>750</v>
      </c>
      <c r="E400" s="105">
        <f>ROUND(SUMIF('zdroj HK'!A:A,C400,'zdroj HK'!B:B),2)</f>
        <v>-1607.29</v>
      </c>
      <c r="F400" s="105"/>
      <c r="G400" s="105">
        <f t="shared" si="59"/>
        <v>-1607.29</v>
      </c>
      <c r="I400" s="101" t="s">
        <v>768</v>
      </c>
    </row>
    <row r="401" spans="2:9">
      <c r="B401" s="110" t="s">
        <v>420</v>
      </c>
      <c r="C401" s="139">
        <v>667</v>
      </c>
      <c r="D401" s="112" t="s">
        <v>751</v>
      </c>
      <c r="E401" s="105">
        <f>ROUND(SUMIF('zdroj HK'!A:A,C401,'zdroj HK'!B:B),2)</f>
        <v>0</v>
      </c>
      <c r="F401" s="105"/>
      <c r="G401" s="105">
        <f t="shared" si="59"/>
        <v>0</v>
      </c>
      <c r="I401" s="101" t="s">
        <v>768</v>
      </c>
    </row>
    <row r="402" spans="2:9">
      <c r="B402" s="102">
        <v>0</v>
      </c>
      <c r="C402" s="103"/>
      <c r="D402" s="139"/>
      <c r="E402" s="105"/>
      <c r="F402" s="105"/>
      <c r="G402" s="105"/>
    </row>
    <row r="403" spans="2:9">
      <c r="B403" s="102">
        <v>0</v>
      </c>
      <c r="C403" s="134" t="s">
        <v>752</v>
      </c>
      <c r="D403" s="112"/>
      <c r="E403" s="105"/>
      <c r="F403" s="105"/>
      <c r="G403" s="105"/>
    </row>
    <row r="404" spans="2:9">
      <c r="B404" s="102">
        <v>0</v>
      </c>
      <c r="C404" s="134"/>
      <c r="D404" s="112"/>
      <c r="E404" s="105"/>
      <c r="F404" s="105"/>
      <c r="G404" s="105"/>
    </row>
    <row r="405" spans="2:9">
      <c r="B405" s="102">
        <v>0</v>
      </c>
      <c r="C405" s="134" t="s">
        <v>753</v>
      </c>
      <c r="D405" s="134" t="s">
        <v>754</v>
      </c>
      <c r="E405" s="105"/>
      <c r="F405" s="105"/>
      <c r="G405" s="105"/>
    </row>
    <row r="406" spans="2:9">
      <c r="B406" s="110" t="s">
        <v>200</v>
      </c>
      <c r="C406" s="128">
        <v>691</v>
      </c>
      <c r="D406" s="112" t="s">
        <v>754</v>
      </c>
      <c r="E406" s="105">
        <f>ROUND(SUMIF('zdroj HK'!A:A,C406,'zdroj HK'!B:B),2)</f>
        <v>0</v>
      </c>
      <c r="F406" s="105"/>
      <c r="G406" s="105">
        <f t="shared" ref="G406" si="60">E406+F406</f>
        <v>0</v>
      </c>
      <c r="I406" s="101" t="s">
        <v>768</v>
      </c>
    </row>
    <row r="407" spans="2:9">
      <c r="C407" s="147"/>
    </row>
    <row r="408" spans="2:9">
      <c r="B408" s="150"/>
      <c r="C408" s="151"/>
      <c r="D408" s="152" t="s">
        <v>875</v>
      </c>
      <c r="E408" s="153">
        <f>SUMIF($B$2:$B$406,"&lt;&gt;0",E$2:E$406)</f>
        <v>-164175.84999999948</v>
      </c>
      <c r="F408" s="153">
        <f>SUMIF($B$2:$B$406,"&lt;&gt;0",F$2:F$406)</f>
        <v>164175.85</v>
      </c>
      <c r="G408" s="153">
        <f>SUMIF($B$2:$B$406,"&lt;&gt;0",G$2:G$406)</f>
        <v>1.0941221262328327E-9</v>
      </c>
      <c r="H408" s="154"/>
      <c r="I408" s="155"/>
    </row>
  </sheetData>
  <autoFilter ref="B1:I408"/>
  <conditionalFormatting sqref="L1 N1">
    <cfRule type="cellIs" dxfId="2" priority="1" operator="lessThan">
      <formula>-0.4</formula>
    </cfRule>
    <cfRule type="cellIs" dxfId="1" priority="2" operator="greaterThan">
      <formula>0.4</formula>
    </cfRule>
    <cfRule type="cellIs" dxfId="0" priority="3" operator="between">
      <formula>-0.4</formula>
      <formula>0.4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I376"/>
  <sheetViews>
    <sheetView zoomScaleNormal="100" workbookViewId="0">
      <pane ySplit="1" topLeftCell="A65" activePane="bottomLeft" state="frozen"/>
      <selection activeCell="E1" sqref="E1"/>
      <selection pane="bottomLeft" activeCell="G77" sqref="G77"/>
    </sheetView>
  </sheetViews>
  <sheetFormatPr defaultRowHeight="15"/>
  <cols>
    <col min="1" max="1" width="9" style="164" customWidth="1"/>
    <col min="2" max="2" width="9.85546875" style="162" bestFit="1" customWidth="1"/>
    <col min="3" max="3" width="9.140625" style="165"/>
    <col min="4" max="4" width="4.7109375" style="174" customWidth="1"/>
    <col min="5" max="5" width="16.7109375" style="1" customWidth="1"/>
    <col min="6" max="6" width="92.5703125" style="175" bestFit="1" customWidth="1"/>
    <col min="7" max="7" width="11.85546875" style="1" bestFit="1" customWidth="1"/>
    <col min="8" max="8" width="9.28515625" style="1" bestFit="1" customWidth="1"/>
    <col min="9" max="9" width="9.28515625" style="162" bestFit="1" customWidth="1"/>
    <col min="10" max="10" width="15" style="162" customWidth="1"/>
    <col min="11" max="16384" width="9.140625" style="162"/>
  </cols>
  <sheetData>
    <row r="1" spans="1:9" s="160" customFormat="1" ht="45.75" customHeight="1">
      <c r="A1" s="168" t="s">
        <v>880</v>
      </c>
      <c r="B1" s="169" t="s">
        <v>881</v>
      </c>
      <c r="C1" s="158"/>
      <c r="D1" s="170" t="s">
        <v>482</v>
      </c>
      <c r="E1" s="171" t="s">
        <v>483</v>
      </c>
      <c r="F1" s="171" t="s">
        <v>484</v>
      </c>
      <c r="G1" s="288">
        <v>42004</v>
      </c>
      <c r="H1" s="172"/>
      <c r="I1" s="159"/>
    </row>
    <row r="2" spans="1:9">
      <c r="A2" s="166" t="str">
        <f>D2</f>
        <v>013</v>
      </c>
      <c r="B2" s="167">
        <f>G2</f>
        <v>0</v>
      </c>
      <c r="C2" s="161"/>
      <c r="D2" s="173" t="str">
        <f>LEFT(E2,3)</f>
        <v>013</v>
      </c>
      <c r="E2" s="289" t="s">
        <v>1853</v>
      </c>
      <c r="F2" s="290" t="s">
        <v>1854</v>
      </c>
      <c r="G2" s="356">
        <v>0</v>
      </c>
    </row>
    <row r="3" spans="1:9" s="165" customFormat="1">
      <c r="A3" s="166" t="str">
        <f t="shared" ref="A3:A66" si="0">D3</f>
        <v>022</v>
      </c>
      <c r="B3" s="167">
        <f t="shared" ref="B3:B66" si="1">G3</f>
        <v>0</v>
      </c>
      <c r="C3" s="161"/>
      <c r="D3" s="173" t="str">
        <f t="shared" ref="D3:D66" si="2">LEFT(E3,3)</f>
        <v>022</v>
      </c>
      <c r="E3" s="289" t="s">
        <v>1855</v>
      </c>
      <c r="F3" s="290" t="s">
        <v>1856</v>
      </c>
      <c r="G3" s="356">
        <v>0</v>
      </c>
      <c r="H3" s="90"/>
    </row>
    <row r="4" spans="1:9" s="165" customFormat="1">
      <c r="A4" s="166" t="str">
        <f t="shared" si="0"/>
        <v>022</v>
      </c>
      <c r="B4" s="167">
        <f t="shared" si="1"/>
        <v>0</v>
      </c>
      <c r="C4" s="161"/>
      <c r="D4" s="173" t="str">
        <f t="shared" si="2"/>
        <v>022</v>
      </c>
      <c r="E4" s="289" t="s">
        <v>1857</v>
      </c>
      <c r="F4" s="290" t="s">
        <v>1858</v>
      </c>
      <c r="G4" s="356">
        <v>0</v>
      </c>
      <c r="H4" s="90"/>
    </row>
    <row r="5" spans="1:9" s="165" customFormat="1">
      <c r="A5" s="166" t="str">
        <f t="shared" si="0"/>
        <v>023</v>
      </c>
      <c r="B5" s="167">
        <f t="shared" si="1"/>
        <v>0</v>
      </c>
      <c r="C5" s="161"/>
      <c r="D5" s="173" t="str">
        <f t="shared" si="2"/>
        <v>023</v>
      </c>
      <c r="E5" s="289" t="s">
        <v>1859</v>
      </c>
      <c r="F5" s="290" t="s">
        <v>1860</v>
      </c>
      <c r="G5" s="356">
        <v>0</v>
      </c>
      <c r="H5" s="90"/>
    </row>
    <row r="6" spans="1:9" s="165" customFormat="1">
      <c r="A6" s="166" t="str">
        <f t="shared" si="0"/>
        <v>028</v>
      </c>
      <c r="B6" s="167">
        <f t="shared" si="1"/>
        <v>0</v>
      </c>
      <c r="C6" s="161"/>
      <c r="D6" s="173" t="str">
        <f t="shared" si="2"/>
        <v>028</v>
      </c>
      <c r="E6" s="289" t="s">
        <v>1861</v>
      </c>
      <c r="F6" s="290" t="s">
        <v>1862</v>
      </c>
      <c r="G6" s="356">
        <v>0</v>
      </c>
      <c r="H6" s="90"/>
    </row>
    <row r="7" spans="1:9" s="165" customFormat="1">
      <c r="A7" s="166" t="str">
        <f t="shared" si="0"/>
        <v>042</v>
      </c>
      <c r="B7" s="167">
        <f t="shared" si="1"/>
        <v>0</v>
      </c>
      <c r="C7" s="161"/>
      <c r="D7" s="173" t="str">
        <f t="shared" si="2"/>
        <v>042</v>
      </c>
      <c r="E7" s="289" t="s">
        <v>1863</v>
      </c>
      <c r="F7" s="290" t="s">
        <v>1864</v>
      </c>
      <c r="G7" s="356">
        <v>0</v>
      </c>
      <c r="H7" s="90"/>
    </row>
    <row r="8" spans="1:9" s="165" customFormat="1">
      <c r="A8" s="166" t="str">
        <f t="shared" si="0"/>
        <v>042</v>
      </c>
      <c r="B8" s="167">
        <f t="shared" si="1"/>
        <v>0</v>
      </c>
      <c r="C8" s="161"/>
      <c r="D8" s="173" t="str">
        <f t="shared" si="2"/>
        <v>042</v>
      </c>
      <c r="E8" s="289" t="s">
        <v>1865</v>
      </c>
      <c r="F8" s="290" t="s">
        <v>1866</v>
      </c>
      <c r="G8" s="356">
        <v>0</v>
      </c>
      <c r="H8" s="90"/>
    </row>
    <row r="9" spans="1:9" s="165" customFormat="1">
      <c r="A9" s="166" t="str">
        <f t="shared" si="0"/>
        <v>073</v>
      </c>
      <c r="B9" s="167">
        <f t="shared" si="1"/>
        <v>0</v>
      </c>
      <c r="C9" s="161"/>
      <c r="D9" s="173" t="str">
        <f t="shared" si="2"/>
        <v>073</v>
      </c>
      <c r="E9" s="289" t="s">
        <v>1867</v>
      </c>
      <c r="F9" s="290" t="s">
        <v>1868</v>
      </c>
      <c r="G9" s="356">
        <v>0</v>
      </c>
      <c r="H9" s="90"/>
    </row>
    <row r="10" spans="1:9" s="165" customFormat="1">
      <c r="A10" s="166" t="str">
        <f t="shared" si="0"/>
        <v>082</v>
      </c>
      <c r="B10" s="167">
        <f t="shared" si="1"/>
        <v>0</v>
      </c>
      <c r="C10" s="161"/>
      <c r="D10" s="173" t="str">
        <f t="shared" si="2"/>
        <v>082</v>
      </c>
      <c r="E10" s="289" t="s">
        <v>1869</v>
      </c>
      <c r="F10" s="290" t="s">
        <v>1870</v>
      </c>
      <c r="G10" s="356">
        <v>0</v>
      </c>
      <c r="H10" s="90"/>
    </row>
    <row r="11" spans="1:9" s="165" customFormat="1">
      <c r="A11" s="166" t="str">
        <f t="shared" si="0"/>
        <v>082</v>
      </c>
      <c r="B11" s="167">
        <f t="shared" si="1"/>
        <v>0</v>
      </c>
      <c r="C11" s="161"/>
      <c r="D11" s="173" t="str">
        <f t="shared" si="2"/>
        <v>082</v>
      </c>
      <c r="E11" s="289" t="s">
        <v>1871</v>
      </c>
      <c r="F11" s="290" t="s">
        <v>1872</v>
      </c>
      <c r="G11" s="356">
        <v>0</v>
      </c>
      <c r="H11" s="90"/>
    </row>
    <row r="12" spans="1:9" s="165" customFormat="1">
      <c r="A12" s="166" t="str">
        <f t="shared" si="0"/>
        <v>082</v>
      </c>
      <c r="B12" s="167">
        <f t="shared" si="1"/>
        <v>0</v>
      </c>
      <c r="C12" s="161"/>
      <c r="D12" s="173" t="str">
        <f t="shared" si="2"/>
        <v>082</v>
      </c>
      <c r="E12" s="289" t="s">
        <v>1873</v>
      </c>
      <c r="F12" s="290" t="s">
        <v>1874</v>
      </c>
      <c r="G12" s="356">
        <v>0</v>
      </c>
      <c r="H12" s="90"/>
    </row>
    <row r="13" spans="1:9" s="165" customFormat="1">
      <c r="A13" s="166" t="str">
        <f t="shared" si="0"/>
        <v>082</v>
      </c>
      <c r="B13" s="167">
        <f t="shared" si="1"/>
        <v>0</v>
      </c>
      <c r="C13" s="161"/>
      <c r="D13" s="173" t="str">
        <f t="shared" si="2"/>
        <v>082</v>
      </c>
      <c r="E13" s="289" t="s">
        <v>1875</v>
      </c>
      <c r="F13" s="290" t="s">
        <v>1876</v>
      </c>
      <c r="G13" s="356">
        <v>0</v>
      </c>
      <c r="H13" s="90"/>
    </row>
    <row r="14" spans="1:9" s="165" customFormat="1">
      <c r="A14" s="166" t="str">
        <f t="shared" si="0"/>
        <v>083</v>
      </c>
      <c r="B14" s="167">
        <f t="shared" si="1"/>
        <v>0</v>
      </c>
      <c r="C14" s="161"/>
      <c r="D14" s="173" t="str">
        <f t="shared" si="2"/>
        <v>083</v>
      </c>
      <c r="E14" s="289" t="s">
        <v>1877</v>
      </c>
      <c r="F14" s="290" t="s">
        <v>1878</v>
      </c>
      <c r="G14" s="356">
        <v>0</v>
      </c>
      <c r="H14" s="90"/>
    </row>
    <row r="15" spans="1:9" s="165" customFormat="1">
      <c r="A15" s="166" t="str">
        <f t="shared" si="0"/>
        <v>088</v>
      </c>
      <c r="B15" s="167">
        <f t="shared" si="1"/>
        <v>0</v>
      </c>
      <c r="C15" s="161"/>
      <c r="D15" s="173" t="str">
        <f t="shared" si="2"/>
        <v>088</v>
      </c>
      <c r="E15" s="289" t="s">
        <v>1879</v>
      </c>
      <c r="F15" s="290" t="s">
        <v>1880</v>
      </c>
      <c r="G15" s="356">
        <v>0</v>
      </c>
      <c r="H15" s="90"/>
    </row>
    <row r="16" spans="1:9" s="165" customFormat="1">
      <c r="A16" s="166" t="str">
        <f t="shared" si="0"/>
        <v>112</v>
      </c>
      <c r="B16" s="167">
        <f t="shared" si="1"/>
        <v>0</v>
      </c>
      <c r="C16" s="161"/>
      <c r="D16" s="173" t="str">
        <f t="shared" si="2"/>
        <v>112</v>
      </c>
      <c r="E16" s="289" t="s">
        <v>1881</v>
      </c>
      <c r="F16" s="290" t="s">
        <v>1882</v>
      </c>
      <c r="G16" s="356">
        <v>0</v>
      </c>
      <c r="H16" s="90"/>
    </row>
    <row r="17" spans="1:8" s="165" customFormat="1">
      <c r="A17" s="166" t="str">
        <f t="shared" si="0"/>
        <v>112</v>
      </c>
      <c r="B17" s="167">
        <f t="shared" si="1"/>
        <v>0</v>
      </c>
      <c r="C17" s="161"/>
      <c r="D17" s="173" t="str">
        <f t="shared" si="2"/>
        <v>112</v>
      </c>
      <c r="E17" s="289" t="s">
        <v>1883</v>
      </c>
      <c r="F17" s="290" t="s">
        <v>1884</v>
      </c>
      <c r="G17" s="356">
        <v>0</v>
      </c>
      <c r="H17" s="90"/>
    </row>
    <row r="18" spans="1:8" s="165" customFormat="1">
      <c r="A18" s="166" t="str">
        <f t="shared" si="0"/>
        <v>112</v>
      </c>
      <c r="B18" s="167">
        <f t="shared" si="1"/>
        <v>0</v>
      </c>
      <c r="C18" s="161"/>
      <c r="D18" s="173" t="str">
        <f t="shared" si="2"/>
        <v>112</v>
      </c>
      <c r="E18" s="289" t="s">
        <v>1885</v>
      </c>
      <c r="F18" s="290" t="s">
        <v>1886</v>
      </c>
      <c r="G18" s="356">
        <v>0</v>
      </c>
      <c r="H18" s="90"/>
    </row>
    <row r="19" spans="1:8" s="165" customFormat="1">
      <c r="A19" s="166" t="str">
        <f t="shared" si="0"/>
        <v>112</v>
      </c>
      <c r="B19" s="167">
        <f t="shared" si="1"/>
        <v>0</v>
      </c>
      <c r="C19" s="161"/>
      <c r="D19" s="173" t="str">
        <f t="shared" si="2"/>
        <v>112</v>
      </c>
      <c r="E19" s="289" t="s">
        <v>1887</v>
      </c>
      <c r="F19" s="290" t="s">
        <v>1888</v>
      </c>
      <c r="G19" s="356">
        <v>0</v>
      </c>
      <c r="H19" s="90"/>
    </row>
    <row r="20" spans="1:8" s="165" customFormat="1">
      <c r="A20" s="166" t="str">
        <f t="shared" si="0"/>
        <v>112</v>
      </c>
      <c r="B20" s="167">
        <f t="shared" si="1"/>
        <v>0</v>
      </c>
      <c r="C20" s="161"/>
      <c r="D20" s="173" t="str">
        <f t="shared" si="2"/>
        <v>112</v>
      </c>
      <c r="E20" s="289" t="s">
        <v>1889</v>
      </c>
      <c r="F20" s="290" t="s">
        <v>1890</v>
      </c>
      <c r="G20" s="356">
        <v>0</v>
      </c>
      <c r="H20" s="90"/>
    </row>
    <row r="21" spans="1:8" s="165" customFormat="1">
      <c r="A21" s="166" t="str">
        <f t="shared" si="0"/>
        <v>112</v>
      </c>
      <c r="B21" s="167">
        <f t="shared" si="1"/>
        <v>0</v>
      </c>
      <c r="C21" s="161"/>
      <c r="D21" s="173" t="str">
        <f t="shared" si="2"/>
        <v>112</v>
      </c>
      <c r="E21" s="289" t="s">
        <v>1891</v>
      </c>
      <c r="F21" s="290" t="s">
        <v>1892</v>
      </c>
      <c r="G21" s="356">
        <v>0</v>
      </c>
      <c r="H21" s="90"/>
    </row>
    <row r="22" spans="1:8" s="165" customFormat="1">
      <c r="A22" s="166" t="str">
        <f t="shared" si="0"/>
        <v>112</v>
      </c>
      <c r="B22" s="167">
        <f t="shared" si="1"/>
        <v>0</v>
      </c>
      <c r="C22" s="161"/>
      <c r="D22" s="173" t="str">
        <f t="shared" si="2"/>
        <v>112</v>
      </c>
      <c r="E22" s="289" t="s">
        <v>1893</v>
      </c>
      <c r="F22" s="290" t="s">
        <v>1894</v>
      </c>
      <c r="G22" s="356">
        <v>0</v>
      </c>
      <c r="H22" s="90"/>
    </row>
    <row r="23" spans="1:8" s="165" customFormat="1">
      <c r="A23" s="166" t="str">
        <f t="shared" si="0"/>
        <v>191</v>
      </c>
      <c r="B23" s="167">
        <f t="shared" si="1"/>
        <v>0</v>
      </c>
      <c r="C23" s="161"/>
      <c r="D23" s="173" t="str">
        <f t="shared" si="2"/>
        <v>191</v>
      </c>
      <c r="E23" s="289" t="s">
        <v>1895</v>
      </c>
      <c r="F23" s="290" t="s">
        <v>1896</v>
      </c>
      <c r="G23" s="356">
        <v>0</v>
      </c>
      <c r="H23" s="90"/>
    </row>
    <row r="24" spans="1:8" s="165" customFormat="1">
      <c r="A24" s="166" t="str">
        <f t="shared" si="0"/>
        <v>211</v>
      </c>
      <c r="B24" s="167">
        <f t="shared" si="1"/>
        <v>0</v>
      </c>
      <c r="C24" s="161"/>
      <c r="D24" s="173" t="str">
        <f t="shared" si="2"/>
        <v>211</v>
      </c>
      <c r="E24" s="289" t="s">
        <v>1897</v>
      </c>
      <c r="F24" s="290" t="s">
        <v>1898</v>
      </c>
      <c r="G24" s="356">
        <v>0</v>
      </c>
      <c r="H24" s="90"/>
    </row>
    <row r="25" spans="1:8" s="165" customFormat="1">
      <c r="A25" s="166" t="str">
        <f t="shared" si="0"/>
        <v>221</v>
      </c>
      <c r="B25" s="167">
        <f t="shared" si="1"/>
        <v>0</v>
      </c>
      <c r="C25" s="161"/>
      <c r="D25" s="173" t="str">
        <f t="shared" si="2"/>
        <v>221</v>
      </c>
      <c r="E25" s="289" t="s">
        <v>1899</v>
      </c>
      <c r="F25" s="290" t="s">
        <v>1900</v>
      </c>
      <c r="G25" s="356">
        <v>0</v>
      </c>
      <c r="H25" s="90"/>
    </row>
    <row r="26" spans="1:8" s="165" customFormat="1">
      <c r="A26" s="166" t="str">
        <f t="shared" si="0"/>
        <v>221</v>
      </c>
      <c r="B26" s="167">
        <f t="shared" si="1"/>
        <v>0</v>
      </c>
      <c r="C26" s="161"/>
      <c r="D26" s="173" t="str">
        <f t="shared" si="2"/>
        <v>221</v>
      </c>
      <c r="E26" s="289" t="s">
        <v>1901</v>
      </c>
      <c r="F26" s="290" t="s">
        <v>1902</v>
      </c>
      <c r="G26" s="356">
        <v>0</v>
      </c>
      <c r="H26" s="90"/>
    </row>
    <row r="27" spans="1:8" s="165" customFormat="1">
      <c r="A27" s="166" t="str">
        <f t="shared" si="0"/>
        <v>249</v>
      </c>
      <c r="B27" s="167">
        <f t="shared" si="1"/>
        <v>0</v>
      </c>
      <c r="C27" s="161"/>
      <c r="D27" s="173" t="str">
        <f t="shared" si="2"/>
        <v>249</v>
      </c>
      <c r="E27" s="289" t="s">
        <v>1903</v>
      </c>
      <c r="F27" s="290" t="s">
        <v>1904</v>
      </c>
      <c r="G27" s="356">
        <v>0</v>
      </c>
      <c r="H27" s="90"/>
    </row>
    <row r="28" spans="1:8" s="165" customFormat="1">
      <c r="A28" s="166" t="str">
        <f t="shared" si="0"/>
        <v>261</v>
      </c>
      <c r="B28" s="167">
        <f t="shared" si="1"/>
        <v>0</v>
      </c>
      <c r="C28" s="161"/>
      <c r="D28" s="173" t="str">
        <f t="shared" si="2"/>
        <v>261</v>
      </c>
      <c r="E28" s="289" t="s">
        <v>1905</v>
      </c>
      <c r="F28" s="290" t="s">
        <v>1906</v>
      </c>
      <c r="G28" s="356">
        <v>0</v>
      </c>
      <c r="H28" s="90"/>
    </row>
    <row r="29" spans="1:8" s="165" customFormat="1">
      <c r="A29" s="166" t="str">
        <f t="shared" si="0"/>
        <v>261</v>
      </c>
      <c r="B29" s="167">
        <f t="shared" si="1"/>
        <v>0</v>
      </c>
      <c r="C29" s="161"/>
      <c r="D29" s="173" t="str">
        <f t="shared" si="2"/>
        <v>261</v>
      </c>
      <c r="E29" s="289" t="s">
        <v>1907</v>
      </c>
      <c r="F29" s="290" t="s">
        <v>1908</v>
      </c>
      <c r="G29" s="356">
        <v>0</v>
      </c>
      <c r="H29" s="90"/>
    </row>
    <row r="30" spans="1:8" s="165" customFormat="1">
      <c r="A30" s="166" t="str">
        <f t="shared" si="0"/>
        <v>311</v>
      </c>
      <c r="B30" s="167">
        <f t="shared" si="1"/>
        <v>10128.98</v>
      </c>
      <c r="C30" s="161"/>
      <c r="D30" s="173" t="str">
        <f t="shared" si="2"/>
        <v>311</v>
      </c>
      <c r="E30" s="289" t="s">
        <v>1909</v>
      </c>
      <c r="F30" s="290" t="s">
        <v>1910</v>
      </c>
      <c r="G30" s="356">
        <v>10128.98</v>
      </c>
      <c r="H30" s="90"/>
    </row>
    <row r="31" spans="1:8" s="165" customFormat="1">
      <c r="A31" s="166" t="str">
        <f t="shared" si="0"/>
        <v>311</v>
      </c>
      <c r="B31" s="167">
        <f t="shared" si="1"/>
        <v>-2205.2600000000002</v>
      </c>
      <c r="C31" s="161"/>
      <c r="D31" s="173" t="str">
        <f t="shared" si="2"/>
        <v>311</v>
      </c>
      <c r="E31" s="289" t="s">
        <v>1911</v>
      </c>
      <c r="F31" s="290" t="s">
        <v>1912</v>
      </c>
      <c r="G31" s="356">
        <v>-2205.2600000000002</v>
      </c>
      <c r="H31" s="90"/>
    </row>
    <row r="32" spans="1:8" s="165" customFormat="1">
      <c r="A32" s="166" t="str">
        <f t="shared" si="0"/>
        <v>311</v>
      </c>
      <c r="B32" s="167">
        <f t="shared" si="1"/>
        <v>0</v>
      </c>
      <c r="C32" s="161"/>
      <c r="D32" s="173" t="str">
        <f t="shared" si="2"/>
        <v>311</v>
      </c>
      <c r="E32" s="289" t="s">
        <v>1913</v>
      </c>
      <c r="F32" s="290" t="s">
        <v>1914</v>
      </c>
      <c r="G32" s="356">
        <v>0</v>
      </c>
      <c r="H32" s="90"/>
    </row>
    <row r="33" spans="1:8" s="165" customFormat="1">
      <c r="A33" s="166" t="str">
        <f t="shared" si="0"/>
        <v>314</v>
      </c>
      <c r="B33" s="167">
        <f t="shared" si="1"/>
        <v>0</v>
      </c>
      <c r="C33" s="161"/>
      <c r="D33" s="173" t="str">
        <f t="shared" si="2"/>
        <v>314</v>
      </c>
      <c r="E33" s="289" t="s">
        <v>1915</v>
      </c>
      <c r="F33" s="290" t="s">
        <v>1916</v>
      </c>
      <c r="G33" s="356">
        <v>0</v>
      </c>
      <c r="H33" s="90"/>
    </row>
    <row r="34" spans="1:8" s="165" customFormat="1">
      <c r="A34" s="166" t="str">
        <f t="shared" si="0"/>
        <v>315</v>
      </c>
      <c r="B34" s="167">
        <f t="shared" si="1"/>
        <v>531.33000000000004</v>
      </c>
      <c r="C34" s="161"/>
      <c r="D34" s="173" t="str">
        <f t="shared" si="2"/>
        <v>315</v>
      </c>
      <c r="E34" s="289" t="s">
        <v>1917</v>
      </c>
      <c r="F34" s="290" t="s">
        <v>1918</v>
      </c>
      <c r="G34" s="356">
        <v>531.33000000000004</v>
      </c>
      <c r="H34" s="90"/>
    </row>
    <row r="35" spans="1:8" s="165" customFormat="1">
      <c r="A35" s="166" t="str">
        <f t="shared" si="0"/>
        <v>321</v>
      </c>
      <c r="B35" s="167">
        <f t="shared" si="1"/>
        <v>-2829685.14</v>
      </c>
      <c r="C35" s="161"/>
      <c r="D35" s="173" t="str">
        <f t="shared" si="2"/>
        <v>321</v>
      </c>
      <c r="E35" s="289" t="s">
        <v>1919</v>
      </c>
      <c r="F35" s="290" t="s">
        <v>1920</v>
      </c>
      <c r="G35" s="356">
        <v>-2829685.14</v>
      </c>
      <c r="H35" s="90"/>
    </row>
    <row r="36" spans="1:8" s="165" customFormat="1">
      <c r="A36" s="166" t="str">
        <f t="shared" si="0"/>
        <v>321</v>
      </c>
      <c r="B36" s="167">
        <f t="shared" si="1"/>
        <v>-5720</v>
      </c>
      <c r="C36" s="161"/>
      <c r="D36" s="173" t="str">
        <f t="shared" si="2"/>
        <v>321</v>
      </c>
      <c r="E36" s="289" t="s">
        <v>1921</v>
      </c>
      <c r="F36" s="290" t="s">
        <v>1922</v>
      </c>
      <c r="G36" s="356">
        <v>-5720</v>
      </c>
      <c r="H36" s="90"/>
    </row>
    <row r="37" spans="1:8" s="165" customFormat="1">
      <c r="A37" s="166" t="str">
        <f t="shared" si="0"/>
        <v>323</v>
      </c>
      <c r="B37" s="167">
        <f t="shared" si="1"/>
        <v>-20260.490000000002</v>
      </c>
      <c r="C37" s="161"/>
      <c r="D37" s="173" t="str">
        <f t="shared" si="2"/>
        <v>323</v>
      </c>
      <c r="E37" s="289" t="s">
        <v>1923</v>
      </c>
      <c r="F37" s="290" t="s">
        <v>1924</v>
      </c>
      <c r="G37" s="356">
        <v>-20260.490000000002</v>
      </c>
      <c r="H37" s="90"/>
    </row>
    <row r="38" spans="1:8" s="165" customFormat="1">
      <c r="A38" s="166" t="str">
        <f t="shared" si="0"/>
        <v>324</v>
      </c>
      <c r="B38" s="167">
        <f t="shared" si="1"/>
        <v>0</v>
      </c>
      <c r="C38" s="161"/>
      <c r="D38" s="173" t="str">
        <f t="shared" si="2"/>
        <v>324</v>
      </c>
      <c r="E38" s="289" t="s">
        <v>1925</v>
      </c>
      <c r="F38" s="290" t="s">
        <v>1926</v>
      </c>
      <c r="G38" s="356">
        <v>0</v>
      </c>
      <c r="H38" s="90"/>
    </row>
    <row r="39" spans="1:8" s="165" customFormat="1">
      <c r="A39" s="166" t="str">
        <f t="shared" si="0"/>
        <v>325</v>
      </c>
      <c r="B39" s="167">
        <f t="shared" si="1"/>
        <v>0</v>
      </c>
      <c r="C39" s="161"/>
      <c r="D39" s="173" t="str">
        <f t="shared" si="2"/>
        <v>325</v>
      </c>
      <c r="E39" s="289" t="s">
        <v>1927</v>
      </c>
      <c r="F39" s="290" t="s">
        <v>1928</v>
      </c>
      <c r="G39" s="356">
        <v>0</v>
      </c>
      <c r="H39" s="90"/>
    </row>
    <row r="40" spans="1:8" s="165" customFormat="1">
      <c r="A40" s="166" t="str">
        <f t="shared" si="0"/>
        <v>325</v>
      </c>
      <c r="B40" s="167">
        <f t="shared" si="1"/>
        <v>0</v>
      </c>
      <c r="C40" s="161"/>
      <c r="D40" s="173" t="str">
        <f t="shared" si="2"/>
        <v>325</v>
      </c>
      <c r="E40" s="289" t="s">
        <v>1929</v>
      </c>
      <c r="F40" s="290" t="s">
        <v>1930</v>
      </c>
      <c r="G40" s="356">
        <v>0</v>
      </c>
      <c r="H40" s="90"/>
    </row>
    <row r="41" spans="1:8" s="165" customFormat="1">
      <c r="A41" s="166" t="str">
        <f t="shared" si="0"/>
        <v>326</v>
      </c>
      <c r="B41" s="167">
        <f t="shared" si="1"/>
        <v>-242181.28</v>
      </c>
      <c r="C41" s="161"/>
      <c r="D41" s="173" t="str">
        <f t="shared" si="2"/>
        <v>326</v>
      </c>
      <c r="E41" s="289" t="s">
        <v>1931</v>
      </c>
      <c r="F41" s="290" t="s">
        <v>1932</v>
      </c>
      <c r="G41" s="356">
        <v>-242181.28</v>
      </c>
      <c r="H41" s="90"/>
    </row>
    <row r="42" spans="1:8" s="165" customFormat="1">
      <c r="A42" s="166" t="str">
        <f t="shared" si="0"/>
        <v>331</v>
      </c>
      <c r="B42" s="167">
        <f t="shared" si="1"/>
        <v>-612.41</v>
      </c>
      <c r="C42" s="161"/>
      <c r="D42" s="173" t="str">
        <f t="shared" si="2"/>
        <v>331</v>
      </c>
      <c r="E42" s="289" t="s">
        <v>1933</v>
      </c>
      <c r="F42" s="290" t="s">
        <v>1934</v>
      </c>
      <c r="G42" s="356">
        <v>-612.41</v>
      </c>
      <c r="H42" s="90"/>
    </row>
    <row r="43" spans="1:8" s="165" customFormat="1">
      <c r="A43" s="166" t="str">
        <f t="shared" si="0"/>
        <v>333</v>
      </c>
      <c r="B43" s="167">
        <f t="shared" si="1"/>
        <v>0</v>
      </c>
      <c r="C43" s="161"/>
      <c r="D43" s="173" t="str">
        <f t="shared" si="2"/>
        <v>333</v>
      </c>
      <c r="E43" s="289" t="s">
        <v>1935</v>
      </c>
      <c r="F43" s="290" t="s">
        <v>1936</v>
      </c>
      <c r="G43" s="356">
        <v>0</v>
      </c>
      <c r="H43" s="90"/>
    </row>
    <row r="44" spans="1:8" s="165" customFormat="1">
      <c r="A44" s="166" t="str">
        <f t="shared" si="0"/>
        <v>335</v>
      </c>
      <c r="B44" s="167">
        <f t="shared" si="1"/>
        <v>0</v>
      </c>
      <c r="C44" s="161"/>
      <c r="D44" s="173" t="str">
        <f t="shared" si="2"/>
        <v>335</v>
      </c>
      <c r="E44" s="289" t="s">
        <v>1937</v>
      </c>
      <c r="F44" s="290" t="s">
        <v>1938</v>
      </c>
      <c r="G44" s="356">
        <v>0</v>
      </c>
      <c r="H44" s="90"/>
    </row>
    <row r="45" spans="1:8" s="165" customFormat="1">
      <c r="A45" s="166" t="str">
        <f t="shared" si="0"/>
        <v>335</v>
      </c>
      <c r="B45" s="167">
        <f t="shared" si="1"/>
        <v>0</v>
      </c>
      <c r="C45" s="161"/>
      <c r="D45" s="173" t="str">
        <f t="shared" si="2"/>
        <v>335</v>
      </c>
      <c r="E45" s="289" t="s">
        <v>1939</v>
      </c>
      <c r="F45" s="290" t="s">
        <v>1940</v>
      </c>
      <c r="G45" s="356">
        <v>0</v>
      </c>
      <c r="H45" s="90"/>
    </row>
    <row r="46" spans="1:8" s="165" customFormat="1">
      <c r="A46" s="166" t="str">
        <f t="shared" si="0"/>
        <v>335</v>
      </c>
      <c r="B46" s="167">
        <f t="shared" si="1"/>
        <v>0</v>
      </c>
      <c r="C46" s="161"/>
      <c r="D46" s="173" t="str">
        <f t="shared" si="2"/>
        <v>335</v>
      </c>
      <c r="E46" s="289" t="s">
        <v>1941</v>
      </c>
      <c r="F46" s="290" t="s">
        <v>1942</v>
      </c>
      <c r="G46" s="356">
        <v>0</v>
      </c>
      <c r="H46" s="90"/>
    </row>
    <row r="47" spans="1:8" s="165" customFormat="1">
      <c r="A47" s="166" t="str">
        <f t="shared" si="0"/>
        <v>335</v>
      </c>
      <c r="B47" s="167">
        <f t="shared" si="1"/>
        <v>62.25</v>
      </c>
      <c r="C47" s="161"/>
      <c r="D47" s="173" t="str">
        <f t="shared" si="2"/>
        <v>335</v>
      </c>
      <c r="E47" s="289" t="s">
        <v>1943</v>
      </c>
      <c r="F47" s="290" t="s">
        <v>1944</v>
      </c>
      <c r="G47" s="356">
        <v>62.25</v>
      </c>
      <c r="H47" s="90"/>
    </row>
    <row r="48" spans="1:8" s="165" customFormat="1">
      <c r="A48" s="166" t="str">
        <f t="shared" si="0"/>
        <v>335</v>
      </c>
      <c r="B48" s="167">
        <f t="shared" si="1"/>
        <v>0</v>
      </c>
      <c r="C48" s="161"/>
      <c r="D48" s="173" t="str">
        <f t="shared" si="2"/>
        <v>335</v>
      </c>
      <c r="E48" s="289" t="s">
        <v>1945</v>
      </c>
      <c r="F48" s="290" t="s">
        <v>1946</v>
      </c>
      <c r="G48" s="356">
        <v>0</v>
      </c>
      <c r="H48" s="90"/>
    </row>
    <row r="49" spans="1:8" s="165" customFormat="1">
      <c r="A49" s="166" t="str">
        <f t="shared" si="0"/>
        <v>336</v>
      </c>
      <c r="B49" s="167">
        <f t="shared" si="1"/>
        <v>-244.48</v>
      </c>
      <c r="C49" s="161"/>
      <c r="D49" s="173" t="str">
        <f t="shared" si="2"/>
        <v>336</v>
      </c>
      <c r="E49" s="289" t="s">
        <v>1947</v>
      </c>
      <c r="F49" s="290" t="s">
        <v>1948</v>
      </c>
      <c r="G49" s="356">
        <v>-244.48</v>
      </c>
      <c r="H49" s="90"/>
    </row>
    <row r="50" spans="1:8" s="165" customFormat="1">
      <c r="A50" s="166" t="str">
        <f t="shared" si="0"/>
        <v>336</v>
      </c>
      <c r="B50" s="167">
        <f t="shared" si="1"/>
        <v>-74.2</v>
      </c>
      <c r="C50" s="161"/>
      <c r="D50" s="173" t="str">
        <f t="shared" si="2"/>
        <v>336</v>
      </c>
      <c r="E50" s="289" t="s">
        <v>1949</v>
      </c>
      <c r="F50" s="290" t="s">
        <v>1950</v>
      </c>
      <c r="G50" s="356">
        <v>-74.2</v>
      </c>
      <c r="H50" s="90"/>
    </row>
    <row r="51" spans="1:8" s="165" customFormat="1">
      <c r="A51" s="166" t="str">
        <f t="shared" si="0"/>
        <v>336</v>
      </c>
      <c r="B51" s="167">
        <f t="shared" si="1"/>
        <v>0</v>
      </c>
      <c r="C51" s="161"/>
      <c r="D51" s="173" t="str">
        <f t="shared" si="2"/>
        <v>336</v>
      </c>
      <c r="E51" s="289" t="s">
        <v>1951</v>
      </c>
      <c r="F51" s="290" t="s">
        <v>1952</v>
      </c>
      <c r="G51" s="356">
        <v>0</v>
      </c>
      <c r="H51" s="90"/>
    </row>
    <row r="52" spans="1:8" s="165" customFormat="1">
      <c r="A52" s="166" t="str">
        <f t="shared" si="0"/>
        <v>341</v>
      </c>
      <c r="B52" s="167">
        <f t="shared" si="1"/>
        <v>0</v>
      </c>
      <c r="C52" s="161"/>
      <c r="D52" s="173" t="str">
        <f t="shared" si="2"/>
        <v>341</v>
      </c>
      <c r="E52" s="289" t="s">
        <v>1953</v>
      </c>
      <c r="F52" s="290" t="s">
        <v>1954</v>
      </c>
      <c r="G52" s="356">
        <v>0</v>
      </c>
      <c r="H52" s="90"/>
    </row>
    <row r="53" spans="1:8" s="165" customFormat="1">
      <c r="A53" s="166" t="str">
        <f t="shared" si="0"/>
        <v>342</v>
      </c>
      <c r="B53" s="167">
        <f t="shared" si="1"/>
        <v>0</v>
      </c>
      <c r="C53" s="161"/>
      <c r="D53" s="173" t="str">
        <f t="shared" si="2"/>
        <v>342</v>
      </c>
      <c r="E53" s="289" t="s">
        <v>1955</v>
      </c>
      <c r="F53" s="290" t="s">
        <v>1956</v>
      </c>
      <c r="G53" s="356">
        <v>0</v>
      </c>
      <c r="H53" s="90"/>
    </row>
    <row r="54" spans="1:8" s="165" customFormat="1">
      <c r="A54" s="166" t="str">
        <f t="shared" si="0"/>
        <v>343</v>
      </c>
      <c r="B54" s="167">
        <f t="shared" si="1"/>
        <v>0</v>
      </c>
      <c r="C54" s="161"/>
      <c r="D54" s="173" t="str">
        <f t="shared" si="2"/>
        <v>343</v>
      </c>
      <c r="E54" s="289" t="s">
        <v>1957</v>
      </c>
      <c r="F54" s="290" t="s">
        <v>1958</v>
      </c>
      <c r="G54" s="356">
        <v>0</v>
      </c>
      <c r="H54" s="90"/>
    </row>
    <row r="55" spans="1:8" s="165" customFormat="1">
      <c r="A55" s="166" t="str">
        <f t="shared" si="0"/>
        <v>343</v>
      </c>
      <c r="B55" s="167">
        <f t="shared" si="1"/>
        <v>0</v>
      </c>
      <c r="C55" s="161"/>
      <c r="D55" s="173" t="str">
        <f t="shared" si="2"/>
        <v>343</v>
      </c>
      <c r="E55" s="289" t="s">
        <v>1959</v>
      </c>
      <c r="F55" s="290" t="s">
        <v>1960</v>
      </c>
      <c r="G55" s="356">
        <v>0</v>
      </c>
      <c r="H55" s="90"/>
    </row>
    <row r="56" spans="1:8" s="165" customFormat="1">
      <c r="A56" s="166" t="str">
        <f t="shared" si="0"/>
        <v>348</v>
      </c>
      <c r="B56" s="167">
        <f t="shared" si="1"/>
        <v>0</v>
      </c>
      <c r="C56" s="161"/>
      <c r="D56" s="173" t="str">
        <f t="shared" si="2"/>
        <v>348</v>
      </c>
      <c r="E56" s="289" t="s">
        <v>1961</v>
      </c>
      <c r="F56" s="290" t="s">
        <v>1962</v>
      </c>
      <c r="G56" s="356">
        <v>0</v>
      </c>
      <c r="H56" s="90"/>
    </row>
    <row r="57" spans="1:8" s="165" customFormat="1">
      <c r="A57" s="166" t="str">
        <f t="shared" si="0"/>
        <v>378</v>
      </c>
      <c r="B57" s="167">
        <f t="shared" si="1"/>
        <v>0</v>
      </c>
      <c r="C57" s="161"/>
      <c r="D57" s="173" t="str">
        <f t="shared" si="2"/>
        <v>378</v>
      </c>
      <c r="E57" s="289" t="s">
        <v>1963</v>
      </c>
      <c r="F57" s="290" t="s">
        <v>1964</v>
      </c>
      <c r="G57" s="356">
        <v>0</v>
      </c>
      <c r="H57" s="90"/>
    </row>
    <row r="58" spans="1:8" s="165" customFormat="1">
      <c r="A58" s="166" t="str">
        <f t="shared" si="0"/>
        <v>378</v>
      </c>
      <c r="B58" s="167">
        <f t="shared" si="1"/>
        <v>0</v>
      </c>
      <c r="C58" s="161"/>
      <c r="D58" s="173" t="str">
        <f t="shared" si="2"/>
        <v>378</v>
      </c>
      <c r="E58" s="289" t="s">
        <v>1965</v>
      </c>
      <c r="F58" s="290" t="s">
        <v>1966</v>
      </c>
      <c r="G58" s="356">
        <v>0</v>
      </c>
      <c r="H58" s="90"/>
    </row>
    <row r="59" spans="1:8" s="165" customFormat="1">
      <c r="A59" s="166" t="str">
        <f t="shared" si="0"/>
        <v>378</v>
      </c>
      <c r="B59" s="167">
        <f t="shared" si="1"/>
        <v>35000</v>
      </c>
      <c r="C59" s="161"/>
      <c r="D59" s="173" t="str">
        <f t="shared" si="2"/>
        <v>378</v>
      </c>
      <c r="E59" s="289" t="s">
        <v>1967</v>
      </c>
      <c r="F59" s="290" t="s">
        <v>1968</v>
      </c>
      <c r="G59" s="356">
        <v>35000</v>
      </c>
      <c r="H59" s="90"/>
    </row>
    <row r="60" spans="1:8" s="165" customFormat="1">
      <c r="A60" s="166" t="str">
        <f t="shared" si="0"/>
        <v>378</v>
      </c>
      <c r="B60" s="167">
        <f t="shared" si="1"/>
        <v>126593.59</v>
      </c>
      <c r="C60" s="161"/>
      <c r="D60" s="173" t="str">
        <f t="shared" si="2"/>
        <v>378</v>
      </c>
      <c r="E60" s="289" t="s">
        <v>1969</v>
      </c>
      <c r="F60" s="290" t="s">
        <v>1970</v>
      </c>
      <c r="G60" s="356">
        <v>126593.59</v>
      </c>
      <c r="H60" s="90"/>
    </row>
    <row r="61" spans="1:8" s="165" customFormat="1">
      <c r="A61" s="166" t="str">
        <f t="shared" si="0"/>
        <v>378</v>
      </c>
      <c r="B61" s="167">
        <f t="shared" si="1"/>
        <v>0</v>
      </c>
      <c r="C61" s="161"/>
      <c r="D61" s="173" t="str">
        <f t="shared" si="2"/>
        <v>378</v>
      </c>
      <c r="E61" s="289" t="s">
        <v>1971</v>
      </c>
      <c r="F61" s="290" t="s">
        <v>1972</v>
      </c>
      <c r="G61" s="356">
        <v>0</v>
      </c>
      <c r="H61" s="90"/>
    </row>
    <row r="62" spans="1:8" s="165" customFormat="1">
      <c r="A62" s="166" t="str">
        <f t="shared" si="0"/>
        <v>379</v>
      </c>
      <c r="B62" s="167">
        <f t="shared" si="1"/>
        <v>-129.36000000000001</v>
      </c>
      <c r="C62" s="161"/>
      <c r="D62" s="173" t="str">
        <f t="shared" si="2"/>
        <v>379</v>
      </c>
      <c r="E62" s="289" t="s">
        <v>1973</v>
      </c>
      <c r="F62" s="290" t="s">
        <v>1974</v>
      </c>
      <c r="G62" s="356">
        <v>-129.36000000000001</v>
      </c>
      <c r="H62" s="90"/>
    </row>
    <row r="63" spans="1:8" s="165" customFormat="1">
      <c r="A63" s="166" t="str">
        <f t="shared" si="0"/>
        <v>379</v>
      </c>
      <c r="B63" s="167">
        <f t="shared" si="1"/>
        <v>0</v>
      </c>
      <c r="C63" s="161"/>
      <c r="D63" s="173" t="str">
        <f t="shared" si="2"/>
        <v>379</v>
      </c>
      <c r="E63" s="289" t="s">
        <v>1975</v>
      </c>
      <c r="F63" s="290" t="s">
        <v>1976</v>
      </c>
      <c r="G63" s="356">
        <v>0</v>
      </c>
      <c r="H63" s="90"/>
    </row>
    <row r="64" spans="1:8" s="165" customFormat="1">
      <c r="A64" s="166" t="str">
        <f t="shared" si="0"/>
        <v>379</v>
      </c>
      <c r="B64" s="167">
        <f t="shared" si="1"/>
        <v>0</v>
      </c>
      <c r="C64" s="161"/>
      <c r="D64" s="173" t="str">
        <f t="shared" si="2"/>
        <v>379</v>
      </c>
      <c r="E64" s="289" t="s">
        <v>1977</v>
      </c>
      <c r="F64" s="290" t="s">
        <v>1978</v>
      </c>
      <c r="G64" s="356">
        <v>0</v>
      </c>
      <c r="H64" s="90"/>
    </row>
    <row r="65" spans="1:8" s="165" customFormat="1">
      <c r="A65" s="166" t="str">
        <f t="shared" si="0"/>
        <v>379</v>
      </c>
      <c r="B65" s="167">
        <f t="shared" si="1"/>
        <v>-1701.37</v>
      </c>
      <c r="C65" s="161"/>
      <c r="D65" s="173" t="str">
        <f t="shared" si="2"/>
        <v>379</v>
      </c>
      <c r="E65" s="289" t="s">
        <v>1979</v>
      </c>
      <c r="F65" s="290" t="s">
        <v>1980</v>
      </c>
      <c r="G65" s="356">
        <v>-1701.37</v>
      </c>
      <c r="H65" s="90"/>
    </row>
    <row r="66" spans="1:8" s="165" customFormat="1">
      <c r="A66" s="166" t="str">
        <f t="shared" si="0"/>
        <v>379</v>
      </c>
      <c r="B66" s="167">
        <f t="shared" si="1"/>
        <v>0</v>
      </c>
      <c r="C66" s="161"/>
      <c r="D66" s="173" t="str">
        <f t="shared" si="2"/>
        <v>379</v>
      </c>
      <c r="E66" s="289" t="s">
        <v>1981</v>
      </c>
      <c r="F66" s="290" t="s">
        <v>1982</v>
      </c>
      <c r="G66" s="356">
        <v>0</v>
      </c>
      <c r="H66" s="90"/>
    </row>
    <row r="67" spans="1:8" s="165" customFormat="1">
      <c r="A67" s="166" t="str">
        <f t="shared" ref="A67:A130" si="3">D67</f>
        <v>381</v>
      </c>
      <c r="B67" s="167">
        <f t="shared" ref="B67:B130" si="4">G67</f>
        <v>9.85</v>
      </c>
      <c r="C67" s="161"/>
      <c r="D67" s="173" t="str">
        <f t="shared" ref="D67:D130" si="5">LEFT(E67,3)</f>
        <v>381</v>
      </c>
      <c r="E67" s="289" t="s">
        <v>1983</v>
      </c>
      <c r="F67" s="290" t="s">
        <v>1984</v>
      </c>
      <c r="G67" s="356">
        <v>9.85</v>
      </c>
      <c r="H67" s="90"/>
    </row>
    <row r="68" spans="1:8" s="165" customFormat="1">
      <c r="A68" s="166" t="str">
        <f t="shared" si="3"/>
        <v>384</v>
      </c>
      <c r="B68" s="167">
        <f t="shared" si="4"/>
        <v>0</v>
      </c>
      <c r="C68" s="161"/>
      <c r="D68" s="173" t="str">
        <f t="shared" si="5"/>
        <v>384</v>
      </c>
      <c r="E68" s="289" t="s">
        <v>1985</v>
      </c>
      <c r="F68" s="290" t="s">
        <v>1986</v>
      </c>
      <c r="G68" s="356">
        <v>0</v>
      </c>
      <c r="H68" s="90"/>
    </row>
    <row r="69" spans="1:8" s="165" customFormat="1">
      <c r="A69" s="166" t="str">
        <f t="shared" si="3"/>
        <v>384</v>
      </c>
      <c r="B69" s="167">
        <f t="shared" si="4"/>
        <v>0</v>
      </c>
      <c r="C69" s="161"/>
      <c r="D69" s="173" t="str">
        <f t="shared" si="5"/>
        <v>384</v>
      </c>
      <c r="E69" s="289" t="s">
        <v>1987</v>
      </c>
      <c r="F69" s="290" t="s">
        <v>1988</v>
      </c>
      <c r="G69" s="356">
        <v>0</v>
      </c>
      <c r="H69" s="90"/>
    </row>
    <row r="70" spans="1:8" s="165" customFormat="1">
      <c r="A70" s="166" t="str">
        <f t="shared" si="3"/>
        <v>385</v>
      </c>
      <c r="B70" s="167">
        <f t="shared" si="4"/>
        <v>0</v>
      </c>
      <c r="C70" s="161"/>
      <c r="D70" s="173" t="str">
        <f t="shared" si="5"/>
        <v>385</v>
      </c>
      <c r="E70" s="289" t="s">
        <v>1989</v>
      </c>
      <c r="F70" s="290" t="s">
        <v>1990</v>
      </c>
      <c r="G70" s="356">
        <v>0</v>
      </c>
      <c r="H70" s="90"/>
    </row>
    <row r="71" spans="1:8" s="165" customFormat="1">
      <c r="A71" s="166" t="str">
        <f t="shared" si="3"/>
        <v>391</v>
      </c>
      <c r="B71" s="167">
        <f t="shared" si="4"/>
        <v>-5935.04</v>
      </c>
      <c r="C71" s="161"/>
      <c r="D71" s="173" t="str">
        <f t="shared" si="5"/>
        <v>391</v>
      </c>
      <c r="E71" s="289" t="s">
        <v>1991</v>
      </c>
      <c r="F71" s="290" t="s">
        <v>1992</v>
      </c>
      <c r="G71" s="356">
        <v>-5935.04</v>
      </c>
      <c r="H71" s="90"/>
    </row>
    <row r="72" spans="1:8" s="165" customFormat="1">
      <c r="A72" s="166" t="str">
        <f t="shared" si="3"/>
        <v>411</v>
      </c>
      <c r="B72" s="167">
        <f t="shared" si="4"/>
        <v>-9958.18</v>
      </c>
      <c r="C72" s="163"/>
      <c r="D72" s="173" t="str">
        <f t="shared" si="5"/>
        <v>411</v>
      </c>
      <c r="E72" s="289" t="s">
        <v>1993</v>
      </c>
      <c r="F72" s="290" t="s">
        <v>1994</v>
      </c>
      <c r="G72" s="356">
        <v>-9958.18</v>
      </c>
      <c r="H72" s="90"/>
    </row>
    <row r="73" spans="1:8" s="165" customFormat="1">
      <c r="A73" s="166" t="str">
        <f t="shared" si="3"/>
        <v>411</v>
      </c>
      <c r="B73" s="167">
        <f t="shared" si="4"/>
        <v>-3617.9</v>
      </c>
      <c r="C73" s="161"/>
      <c r="D73" s="173" t="str">
        <f t="shared" si="5"/>
        <v>411</v>
      </c>
      <c r="E73" s="289" t="s">
        <v>1995</v>
      </c>
      <c r="F73" s="290" t="s">
        <v>1996</v>
      </c>
      <c r="G73" s="356">
        <v>-3617.9</v>
      </c>
      <c r="H73" s="90"/>
    </row>
    <row r="74" spans="1:8" s="165" customFormat="1">
      <c r="A74" s="166" t="str">
        <f t="shared" si="3"/>
        <v>427</v>
      </c>
      <c r="B74" s="167">
        <f t="shared" si="4"/>
        <v>0</v>
      </c>
      <c r="C74" s="161"/>
      <c r="D74" s="173" t="str">
        <f t="shared" si="5"/>
        <v>427</v>
      </c>
      <c r="E74" s="289" t="s">
        <v>1997</v>
      </c>
      <c r="F74" s="290" t="s">
        <v>1998</v>
      </c>
      <c r="G74" s="356">
        <v>0</v>
      </c>
      <c r="H74" s="90"/>
    </row>
    <row r="75" spans="1:8" s="165" customFormat="1">
      <c r="A75" s="166" t="str">
        <f t="shared" si="3"/>
        <v>428</v>
      </c>
      <c r="B75" s="167">
        <f t="shared" si="4"/>
        <v>3024285.7</v>
      </c>
      <c r="C75" s="161"/>
      <c r="D75" s="173" t="str">
        <f t="shared" si="5"/>
        <v>428</v>
      </c>
      <c r="E75" s="289" t="s">
        <v>1999</v>
      </c>
      <c r="F75" s="290" t="s">
        <v>2000</v>
      </c>
      <c r="G75" s="356">
        <v>3024285.7</v>
      </c>
      <c r="H75" s="90"/>
    </row>
    <row r="76" spans="1:8" s="165" customFormat="1">
      <c r="A76" s="166" t="str">
        <f t="shared" si="3"/>
        <v>431</v>
      </c>
      <c r="B76" s="167">
        <f t="shared" si="4"/>
        <v>0</v>
      </c>
      <c r="C76" s="161"/>
      <c r="D76" s="173" t="str">
        <f t="shared" si="5"/>
        <v>431</v>
      </c>
      <c r="E76" s="289">
        <v>431</v>
      </c>
      <c r="F76" s="290" t="s">
        <v>2001</v>
      </c>
      <c r="G76" s="356">
        <v>0</v>
      </c>
      <c r="H76" s="90"/>
    </row>
    <row r="77" spans="1:8" s="165" customFormat="1">
      <c r="A77" s="166" t="str">
        <f t="shared" si="3"/>
        <v>472</v>
      </c>
      <c r="B77" s="167">
        <f t="shared" si="4"/>
        <v>-17632.47</v>
      </c>
      <c r="C77" s="161"/>
      <c r="D77" s="173" t="str">
        <f t="shared" si="5"/>
        <v>472</v>
      </c>
      <c r="E77" s="289" t="s">
        <v>2002</v>
      </c>
      <c r="F77" s="290" t="s">
        <v>2003</v>
      </c>
      <c r="G77" s="356">
        <v>-17632.47</v>
      </c>
      <c r="H77" s="90"/>
    </row>
    <row r="78" spans="1:8" s="165" customFormat="1">
      <c r="A78" s="166" t="str">
        <f t="shared" si="3"/>
        <v>472</v>
      </c>
      <c r="B78" s="167">
        <f t="shared" si="4"/>
        <v>4838.24</v>
      </c>
      <c r="C78" s="161"/>
      <c r="D78" s="173" t="str">
        <f t="shared" si="5"/>
        <v>472</v>
      </c>
      <c r="E78" s="289" t="s">
        <v>2004</v>
      </c>
      <c r="F78" s="290" t="s">
        <v>2005</v>
      </c>
      <c r="G78" s="356">
        <v>4838.24</v>
      </c>
      <c r="H78" s="90"/>
    </row>
    <row r="79" spans="1:8" s="165" customFormat="1">
      <c r="A79" s="166" t="str">
        <f t="shared" si="3"/>
        <v>472</v>
      </c>
      <c r="B79" s="167">
        <f t="shared" si="4"/>
        <v>12794.23</v>
      </c>
      <c r="C79" s="161"/>
      <c r="D79" s="173" t="str">
        <f t="shared" si="5"/>
        <v>472</v>
      </c>
      <c r="E79" s="289" t="s">
        <v>2006</v>
      </c>
      <c r="F79" s="290" t="s">
        <v>2007</v>
      </c>
      <c r="G79" s="356">
        <v>12794.23</v>
      </c>
      <c r="H79" s="90"/>
    </row>
    <row r="80" spans="1:8" s="165" customFormat="1">
      <c r="A80" s="166" t="str">
        <f t="shared" si="3"/>
        <v>501</v>
      </c>
      <c r="B80" s="167">
        <f t="shared" si="4"/>
        <v>2462.84</v>
      </c>
      <c r="C80" s="161"/>
      <c r="D80" s="173" t="str">
        <f t="shared" si="5"/>
        <v>501</v>
      </c>
      <c r="E80" s="289" t="s">
        <v>2008</v>
      </c>
      <c r="F80" s="290" t="s">
        <v>2009</v>
      </c>
      <c r="G80" s="356">
        <v>2462.84</v>
      </c>
      <c r="H80" s="90"/>
    </row>
    <row r="81" spans="1:8" s="165" customFormat="1">
      <c r="A81" s="166" t="str">
        <f t="shared" si="3"/>
        <v>501</v>
      </c>
      <c r="B81" s="167">
        <f t="shared" si="4"/>
        <v>3590.46</v>
      </c>
      <c r="C81" s="161"/>
      <c r="D81" s="173" t="str">
        <f t="shared" si="5"/>
        <v>501</v>
      </c>
      <c r="E81" s="289" t="s">
        <v>2010</v>
      </c>
      <c r="F81" s="290" t="s">
        <v>2011</v>
      </c>
      <c r="G81" s="356">
        <v>3590.46</v>
      </c>
      <c r="H81" s="90"/>
    </row>
    <row r="82" spans="1:8" s="165" customFormat="1">
      <c r="A82" s="166" t="str">
        <f t="shared" si="3"/>
        <v>501</v>
      </c>
      <c r="B82" s="167">
        <f t="shared" si="4"/>
        <v>2845.96</v>
      </c>
      <c r="C82" s="161"/>
      <c r="D82" s="173" t="str">
        <f t="shared" si="5"/>
        <v>501</v>
      </c>
      <c r="E82" s="289" t="s">
        <v>2012</v>
      </c>
      <c r="F82" s="290" t="s">
        <v>2013</v>
      </c>
      <c r="G82" s="356">
        <v>2845.96</v>
      </c>
      <c r="H82" s="90"/>
    </row>
    <row r="83" spans="1:8" s="165" customFormat="1">
      <c r="A83" s="166" t="str">
        <f t="shared" si="3"/>
        <v>501</v>
      </c>
      <c r="B83" s="167">
        <f t="shared" si="4"/>
        <v>177.28</v>
      </c>
      <c r="C83" s="161"/>
      <c r="D83" s="173" t="str">
        <f t="shared" si="5"/>
        <v>501</v>
      </c>
      <c r="E83" s="289" t="s">
        <v>2014</v>
      </c>
      <c r="F83" s="290" t="s">
        <v>2015</v>
      </c>
      <c r="G83" s="356">
        <v>177.28</v>
      </c>
      <c r="H83" s="90"/>
    </row>
    <row r="84" spans="1:8" s="165" customFormat="1">
      <c r="A84" s="166" t="str">
        <f t="shared" si="3"/>
        <v>501</v>
      </c>
      <c r="B84" s="167">
        <f t="shared" si="4"/>
        <v>267.86</v>
      </c>
      <c r="C84" s="161"/>
      <c r="D84" s="173" t="str">
        <f t="shared" si="5"/>
        <v>501</v>
      </c>
      <c r="E84" s="289" t="s">
        <v>2016</v>
      </c>
      <c r="F84" s="290" t="s">
        <v>2017</v>
      </c>
      <c r="G84" s="356">
        <v>267.86</v>
      </c>
      <c r="H84" s="90"/>
    </row>
    <row r="85" spans="1:8" s="165" customFormat="1">
      <c r="A85" s="166" t="str">
        <f t="shared" si="3"/>
        <v>501</v>
      </c>
      <c r="B85" s="167">
        <f t="shared" si="4"/>
        <v>3687.07</v>
      </c>
      <c r="C85" s="161"/>
      <c r="D85" s="173" t="str">
        <f t="shared" si="5"/>
        <v>501</v>
      </c>
      <c r="E85" s="289" t="s">
        <v>2018</v>
      </c>
      <c r="F85" s="290" t="s">
        <v>2019</v>
      </c>
      <c r="G85" s="356">
        <v>3687.07</v>
      </c>
      <c r="H85" s="90"/>
    </row>
    <row r="86" spans="1:8" s="165" customFormat="1">
      <c r="A86" s="166" t="str">
        <f t="shared" si="3"/>
        <v>501</v>
      </c>
      <c r="B86" s="167">
        <f t="shared" si="4"/>
        <v>9279.5499999999993</v>
      </c>
      <c r="C86" s="161"/>
      <c r="D86" s="173" t="str">
        <f t="shared" si="5"/>
        <v>501</v>
      </c>
      <c r="E86" s="289" t="s">
        <v>2020</v>
      </c>
      <c r="F86" s="290" t="s">
        <v>2021</v>
      </c>
      <c r="G86" s="356">
        <v>9279.5499999999993</v>
      </c>
      <c r="H86" s="90"/>
    </row>
    <row r="87" spans="1:8" s="165" customFormat="1">
      <c r="A87" s="166" t="str">
        <f t="shared" si="3"/>
        <v>501</v>
      </c>
      <c r="B87" s="167">
        <f t="shared" si="4"/>
        <v>335.98</v>
      </c>
      <c r="C87" s="161"/>
      <c r="D87" s="173" t="str">
        <f t="shared" si="5"/>
        <v>501</v>
      </c>
      <c r="E87" s="178" t="s">
        <v>2022</v>
      </c>
      <c r="F87" s="178" t="s">
        <v>2023</v>
      </c>
      <c r="G87" s="356">
        <v>335.98</v>
      </c>
      <c r="H87" s="90"/>
    </row>
    <row r="88" spans="1:8" s="165" customFormat="1">
      <c r="A88" s="166" t="str">
        <f t="shared" si="3"/>
        <v>501</v>
      </c>
      <c r="B88" s="167">
        <f t="shared" si="4"/>
        <v>239583.35</v>
      </c>
      <c r="C88" s="161"/>
      <c r="D88" s="173" t="str">
        <f t="shared" si="5"/>
        <v>501</v>
      </c>
      <c r="E88" s="178" t="s">
        <v>2024</v>
      </c>
      <c r="F88" s="178" t="s">
        <v>2025</v>
      </c>
      <c r="G88" s="356">
        <v>239583.35</v>
      </c>
      <c r="H88" s="90"/>
    </row>
    <row r="89" spans="1:8" s="165" customFormat="1">
      <c r="A89" s="166" t="str">
        <f t="shared" si="3"/>
        <v>501</v>
      </c>
      <c r="B89" s="167">
        <f t="shared" si="4"/>
        <v>144697.18</v>
      </c>
      <c r="C89" s="161"/>
      <c r="D89" s="173" t="str">
        <f t="shared" si="5"/>
        <v>501</v>
      </c>
      <c r="E89" s="178" t="s">
        <v>2026</v>
      </c>
      <c r="F89" s="178" t="s">
        <v>2027</v>
      </c>
      <c r="G89" s="356">
        <v>144697.18</v>
      </c>
      <c r="H89" s="90"/>
    </row>
    <row r="90" spans="1:8" s="165" customFormat="1">
      <c r="A90" s="166" t="str">
        <f t="shared" si="3"/>
        <v>501</v>
      </c>
      <c r="B90" s="167">
        <f t="shared" si="4"/>
        <v>767.06</v>
      </c>
      <c r="C90" s="161"/>
      <c r="D90" s="173" t="str">
        <f t="shared" si="5"/>
        <v>501</v>
      </c>
      <c r="E90" s="178" t="s">
        <v>2028</v>
      </c>
      <c r="F90" s="178" t="s">
        <v>2029</v>
      </c>
      <c r="G90" s="356">
        <v>767.06</v>
      </c>
      <c r="H90" s="90"/>
    </row>
    <row r="91" spans="1:8" s="165" customFormat="1">
      <c r="A91" s="166" t="str">
        <f t="shared" si="3"/>
        <v>501</v>
      </c>
      <c r="B91" s="167">
        <f t="shared" si="4"/>
        <v>3661.7</v>
      </c>
      <c r="C91" s="161"/>
      <c r="D91" s="173" t="str">
        <f t="shared" si="5"/>
        <v>501</v>
      </c>
      <c r="E91" s="178" t="s">
        <v>2030</v>
      </c>
      <c r="F91" s="178" t="s">
        <v>2031</v>
      </c>
      <c r="G91" s="356">
        <v>3661.7</v>
      </c>
      <c r="H91" s="90"/>
    </row>
    <row r="92" spans="1:8" s="165" customFormat="1">
      <c r="A92" s="166" t="str">
        <f t="shared" si="3"/>
        <v>501</v>
      </c>
      <c r="B92" s="167">
        <f t="shared" si="4"/>
        <v>42861.99</v>
      </c>
      <c r="C92" s="161"/>
      <c r="D92" s="173" t="str">
        <f t="shared" si="5"/>
        <v>501</v>
      </c>
      <c r="E92" s="178" t="s">
        <v>2032</v>
      </c>
      <c r="F92" s="178" t="s">
        <v>2033</v>
      </c>
      <c r="G92" s="356">
        <v>42861.99</v>
      </c>
      <c r="H92" s="90"/>
    </row>
    <row r="93" spans="1:8" s="165" customFormat="1">
      <c r="A93" s="166" t="str">
        <f t="shared" si="3"/>
        <v>501</v>
      </c>
      <c r="B93" s="167">
        <f t="shared" si="4"/>
        <v>311.99</v>
      </c>
      <c r="C93" s="161"/>
      <c r="D93" s="173" t="str">
        <f t="shared" si="5"/>
        <v>501</v>
      </c>
      <c r="E93" s="178" t="s">
        <v>2034</v>
      </c>
      <c r="F93" s="178" t="s">
        <v>2035</v>
      </c>
      <c r="G93" s="356">
        <v>311.99</v>
      </c>
      <c r="H93" s="90"/>
    </row>
    <row r="94" spans="1:8" s="165" customFormat="1">
      <c r="A94" s="166" t="str">
        <f t="shared" si="3"/>
        <v>501</v>
      </c>
      <c r="B94" s="167">
        <f t="shared" si="4"/>
        <v>11782.99</v>
      </c>
      <c r="C94" s="161"/>
      <c r="D94" s="173" t="str">
        <f t="shared" si="5"/>
        <v>501</v>
      </c>
      <c r="E94" s="178" t="s">
        <v>2036</v>
      </c>
      <c r="F94" s="178" t="s">
        <v>2037</v>
      </c>
      <c r="G94" s="356">
        <v>11782.99</v>
      </c>
      <c r="H94" s="90"/>
    </row>
    <row r="95" spans="1:8" s="165" customFormat="1">
      <c r="A95" s="166" t="str">
        <f t="shared" si="3"/>
        <v>501</v>
      </c>
      <c r="B95" s="167">
        <f t="shared" si="4"/>
        <v>156522.07</v>
      </c>
      <c r="C95" s="161"/>
      <c r="D95" s="173" t="str">
        <f t="shared" si="5"/>
        <v>501</v>
      </c>
      <c r="E95" s="178" t="s">
        <v>2038</v>
      </c>
      <c r="F95" s="178" t="s">
        <v>2039</v>
      </c>
      <c r="G95" s="356">
        <v>156522.07</v>
      </c>
      <c r="H95" s="90"/>
    </row>
    <row r="96" spans="1:8" s="165" customFormat="1">
      <c r="A96" s="166" t="str">
        <f t="shared" si="3"/>
        <v>501</v>
      </c>
      <c r="B96" s="167">
        <f t="shared" si="4"/>
        <v>16312.12</v>
      </c>
      <c r="C96" s="161"/>
      <c r="D96" s="173" t="str">
        <f t="shared" si="5"/>
        <v>501</v>
      </c>
      <c r="E96" s="178" t="s">
        <v>2040</v>
      </c>
      <c r="F96" s="178" t="s">
        <v>2041</v>
      </c>
      <c r="G96" s="356">
        <v>16312.12</v>
      </c>
      <c r="H96" s="90"/>
    </row>
    <row r="97" spans="1:8" s="165" customFormat="1">
      <c r="A97" s="166" t="str">
        <f t="shared" si="3"/>
        <v>501</v>
      </c>
      <c r="B97" s="167">
        <f t="shared" si="4"/>
        <v>313985.36</v>
      </c>
      <c r="C97" s="161"/>
      <c r="D97" s="173" t="str">
        <f t="shared" si="5"/>
        <v>501</v>
      </c>
      <c r="E97" s="178" t="s">
        <v>2042</v>
      </c>
      <c r="F97" s="178" t="s">
        <v>2043</v>
      </c>
      <c r="G97" s="356">
        <v>313985.36</v>
      </c>
      <c r="H97" s="90"/>
    </row>
    <row r="98" spans="1:8" s="165" customFormat="1">
      <c r="A98" s="166" t="str">
        <f t="shared" si="3"/>
        <v>501</v>
      </c>
      <c r="B98" s="167">
        <f t="shared" si="4"/>
        <v>4429.3599999999997</v>
      </c>
      <c r="C98" s="161"/>
      <c r="D98" s="173" t="str">
        <f t="shared" si="5"/>
        <v>501</v>
      </c>
      <c r="E98" s="178" t="s">
        <v>2044</v>
      </c>
      <c r="F98" s="178" t="s">
        <v>2045</v>
      </c>
      <c r="G98" s="356">
        <v>4429.3599999999997</v>
      </c>
      <c r="H98" s="90"/>
    </row>
    <row r="99" spans="1:8" s="165" customFormat="1">
      <c r="A99" s="166" t="str">
        <f t="shared" si="3"/>
        <v>501</v>
      </c>
      <c r="B99" s="167">
        <f t="shared" si="4"/>
        <v>36121.129999999997</v>
      </c>
      <c r="C99" s="161"/>
      <c r="D99" s="173" t="str">
        <f t="shared" si="5"/>
        <v>501</v>
      </c>
      <c r="E99" s="178" t="s">
        <v>2046</v>
      </c>
      <c r="F99" s="178" t="s">
        <v>2047</v>
      </c>
      <c r="G99" s="356">
        <v>36121.129999999997</v>
      </c>
      <c r="H99" s="90"/>
    </row>
    <row r="100" spans="1:8" s="165" customFormat="1">
      <c r="A100" s="166" t="str">
        <f t="shared" si="3"/>
        <v>501</v>
      </c>
      <c r="B100" s="167">
        <f t="shared" si="4"/>
        <v>14388.1</v>
      </c>
      <c r="C100" s="161"/>
      <c r="D100" s="173" t="str">
        <f t="shared" si="5"/>
        <v>501</v>
      </c>
      <c r="E100" s="178" t="s">
        <v>2048</v>
      </c>
      <c r="F100" s="178" t="s">
        <v>2049</v>
      </c>
      <c r="G100" s="356">
        <v>14388.1</v>
      </c>
      <c r="H100" s="90"/>
    </row>
    <row r="101" spans="1:8" s="165" customFormat="1">
      <c r="A101" s="166" t="str">
        <f t="shared" si="3"/>
        <v>501</v>
      </c>
      <c r="B101" s="167">
        <f t="shared" si="4"/>
        <v>169054.75</v>
      </c>
      <c r="C101" s="161"/>
      <c r="D101" s="173" t="str">
        <f t="shared" si="5"/>
        <v>501</v>
      </c>
      <c r="E101" s="178" t="s">
        <v>2050</v>
      </c>
      <c r="F101" s="178" t="s">
        <v>2051</v>
      </c>
      <c r="G101" s="356">
        <v>169054.75</v>
      </c>
      <c r="H101" s="90"/>
    </row>
    <row r="102" spans="1:8" s="165" customFormat="1">
      <c r="A102" s="166" t="str">
        <f t="shared" si="3"/>
        <v>501</v>
      </c>
      <c r="B102" s="167">
        <f t="shared" si="4"/>
        <v>72767.759999999995</v>
      </c>
      <c r="C102" s="161"/>
      <c r="D102" s="173" t="str">
        <f t="shared" si="5"/>
        <v>501</v>
      </c>
      <c r="E102" s="178" t="s">
        <v>2052</v>
      </c>
      <c r="F102" s="178" t="s">
        <v>2053</v>
      </c>
      <c r="G102" s="356">
        <v>72767.759999999995</v>
      </c>
      <c r="H102" s="90"/>
    </row>
    <row r="103" spans="1:8" s="165" customFormat="1">
      <c r="A103" s="166" t="str">
        <f t="shared" si="3"/>
        <v>501</v>
      </c>
      <c r="B103" s="167">
        <f t="shared" si="4"/>
        <v>3573.29</v>
      </c>
      <c r="C103" s="161"/>
      <c r="D103" s="173" t="str">
        <f t="shared" si="5"/>
        <v>501</v>
      </c>
      <c r="E103" s="178" t="s">
        <v>2054</v>
      </c>
      <c r="F103" s="178" t="s">
        <v>2055</v>
      </c>
      <c r="G103" s="356">
        <v>3573.29</v>
      </c>
      <c r="H103" s="90"/>
    </row>
    <row r="104" spans="1:8" s="165" customFormat="1">
      <c r="A104" s="166" t="str">
        <f t="shared" si="3"/>
        <v>501</v>
      </c>
      <c r="B104" s="167">
        <f t="shared" si="4"/>
        <v>17878.099999999999</v>
      </c>
      <c r="C104" s="161"/>
      <c r="D104" s="173" t="str">
        <f t="shared" si="5"/>
        <v>501</v>
      </c>
      <c r="E104" s="178" t="s">
        <v>2056</v>
      </c>
      <c r="F104" s="178" t="s">
        <v>2057</v>
      </c>
      <c r="G104" s="356">
        <v>17878.099999999999</v>
      </c>
      <c r="H104" s="90"/>
    </row>
    <row r="105" spans="1:8" s="165" customFormat="1">
      <c r="A105" s="166" t="str">
        <f t="shared" si="3"/>
        <v>501</v>
      </c>
      <c r="B105" s="167">
        <f t="shared" si="4"/>
        <v>10955.94</v>
      </c>
      <c r="C105" s="161"/>
      <c r="D105" s="173" t="str">
        <f t="shared" si="5"/>
        <v>501</v>
      </c>
      <c r="E105" s="178" t="s">
        <v>2058</v>
      </c>
      <c r="F105" s="178" t="s">
        <v>2059</v>
      </c>
      <c r="G105" s="356">
        <v>10955.94</v>
      </c>
      <c r="H105" s="90"/>
    </row>
    <row r="106" spans="1:8" s="165" customFormat="1">
      <c r="A106" s="166" t="str">
        <f t="shared" si="3"/>
        <v>501</v>
      </c>
      <c r="B106" s="167">
        <f t="shared" si="4"/>
        <v>2099.14</v>
      </c>
      <c r="C106" s="161"/>
      <c r="D106" s="173" t="str">
        <f t="shared" si="5"/>
        <v>501</v>
      </c>
      <c r="E106" s="178" t="s">
        <v>2060</v>
      </c>
      <c r="F106" s="178" t="s">
        <v>2061</v>
      </c>
      <c r="G106" s="356">
        <v>2099.14</v>
      </c>
      <c r="H106" s="90"/>
    </row>
    <row r="107" spans="1:8" s="165" customFormat="1">
      <c r="A107" s="166" t="str">
        <f t="shared" si="3"/>
        <v>501</v>
      </c>
      <c r="B107" s="167">
        <f t="shared" si="4"/>
        <v>10486.85</v>
      </c>
      <c r="C107" s="161"/>
      <c r="D107" s="173" t="str">
        <f t="shared" si="5"/>
        <v>501</v>
      </c>
      <c r="E107" s="178" t="s">
        <v>2062</v>
      </c>
      <c r="F107" s="178" t="s">
        <v>2063</v>
      </c>
      <c r="G107" s="356">
        <v>10486.85</v>
      </c>
      <c r="H107" s="90"/>
    </row>
    <row r="108" spans="1:8" s="165" customFormat="1">
      <c r="A108" s="166" t="str">
        <f t="shared" si="3"/>
        <v>501</v>
      </c>
      <c r="B108" s="167">
        <f t="shared" si="4"/>
        <v>5801.26</v>
      </c>
      <c r="C108" s="161"/>
      <c r="D108" s="173" t="str">
        <f t="shared" si="5"/>
        <v>501</v>
      </c>
      <c r="E108" s="178" t="s">
        <v>2064</v>
      </c>
      <c r="F108" s="178" t="s">
        <v>2065</v>
      </c>
      <c r="G108" s="356">
        <v>5801.26</v>
      </c>
      <c r="H108" s="90"/>
    </row>
    <row r="109" spans="1:8" s="165" customFormat="1">
      <c r="A109" s="166" t="str">
        <f t="shared" si="3"/>
        <v>501</v>
      </c>
      <c r="B109" s="167">
        <f t="shared" si="4"/>
        <v>1049.5899999999999</v>
      </c>
      <c r="C109" s="161"/>
      <c r="D109" s="173" t="str">
        <f t="shared" si="5"/>
        <v>501</v>
      </c>
      <c r="E109" s="178" t="s">
        <v>2066</v>
      </c>
      <c r="F109" s="178" t="s">
        <v>2067</v>
      </c>
      <c r="G109" s="356">
        <v>1049.5899999999999</v>
      </c>
      <c r="H109" s="90"/>
    </row>
    <row r="110" spans="1:8" s="165" customFormat="1">
      <c r="A110" s="166" t="str">
        <f t="shared" si="3"/>
        <v>501</v>
      </c>
      <c r="B110" s="167">
        <f t="shared" si="4"/>
        <v>7134.02</v>
      </c>
      <c r="C110" s="161"/>
      <c r="D110" s="173" t="str">
        <f t="shared" si="5"/>
        <v>501</v>
      </c>
      <c r="E110" s="178" t="s">
        <v>2068</v>
      </c>
      <c r="F110" s="178" t="s">
        <v>2069</v>
      </c>
      <c r="G110" s="356">
        <v>7134.02</v>
      </c>
      <c r="H110" s="90"/>
    </row>
    <row r="111" spans="1:8" s="165" customFormat="1">
      <c r="A111" s="166" t="str">
        <f t="shared" si="3"/>
        <v>501</v>
      </c>
      <c r="B111" s="167">
        <f t="shared" si="4"/>
        <v>18531.66</v>
      </c>
      <c r="C111" s="161"/>
      <c r="D111" s="173" t="str">
        <f t="shared" si="5"/>
        <v>501</v>
      </c>
      <c r="E111" s="178" t="s">
        <v>2070</v>
      </c>
      <c r="F111" s="178" t="s">
        <v>2071</v>
      </c>
      <c r="G111" s="356">
        <v>18531.66</v>
      </c>
      <c r="H111" s="90"/>
    </row>
    <row r="112" spans="1:8" s="165" customFormat="1">
      <c r="A112" s="166" t="str">
        <f t="shared" si="3"/>
        <v>501</v>
      </c>
      <c r="B112" s="167">
        <f t="shared" si="4"/>
        <v>1956.95</v>
      </c>
      <c r="C112" s="161"/>
      <c r="D112" s="173" t="str">
        <f t="shared" si="5"/>
        <v>501</v>
      </c>
      <c r="E112" s="178" t="s">
        <v>2072</v>
      </c>
      <c r="F112" s="178" t="s">
        <v>2073</v>
      </c>
      <c r="G112" s="356">
        <v>1956.95</v>
      </c>
      <c r="H112" s="90"/>
    </row>
    <row r="113" spans="1:8" s="165" customFormat="1">
      <c r="A113" s="166" t="str">
        <f t="shared" si="3"/>
        <v>501</v>
      </c>
      <c r="B113" s="167">
        <f t="shared" si="4"/>
        <v>206.35</v>
      </c>
      <c r="C113" s="161"/>
      <c r="D113" s="173" t="str">
        <f t="shared" si="5"/>
        <v>501</v>
      </c>
      <c r="E113" s="178" t="s">
        <v>2074</v>
      </c>
      <c r="F113" s="178" t="s">
        <v>2075</v>
      </c>
      <c r="G113" s="356">
        <v>206.35</v>
      </c>
      <c r="H113" s="90"/>
    </row>
    <row r="114" spans="1:8" s="165" customFormat="1">
      <c r="A114" s="166" t="str">
        <f t="shared" si="3"/>
        <v>501</v>
      </c>
      <c r="B114" s="167">
        <f t="shared" si="4"/>
        <v>519.34</v>
      </c>
      <c r="C114" s="161"/>
      <c r="D114" s="173" t="str">
        <f t="shared" si="5"/>
        <v>501</v>
      </c>
      <c r="E114" s="178" t="s">
        <v>2076</v>
      </c>
      <c r="F114" s="178" t="s">
        <v>2077</v>
      </c>
      <c r="G114" s="356">
        <v>519.34</v>
      </c>
      <c r="H114" s="90"/>
    </row>
    <row r="115" spans="1:8" s="165" customFormat="1">
      <c r="A115" s="166" t="str">
        <f t="shared" si="3"/>
        <v>501</v>
      </c>
      <c r="B115" s="167">
        <f t="shared" si="4"/>
        <v>18.8</v>
      </c>
      <c r="C115" s="161"/>
      <c r="D115" s="173" t="str">
        <f t="shared" si="5"/>
        <v>501</v>
      </c>
      <c r="E115" s="178" t="s">
        <v>2078</v>
      </c>
      <c r="F115" s="178" t="s">
        <v>2079</v>
      </c>
      <c r="G115" s="356">
        <v>18.8</v>
      </c>
      <c r="H115" s="90"/>
    </row>
    <row r="116" spans="1:8" s="165" customFormat="1">
      <c r="A116" s="166" t="str">
        <f t="shared" si="3"/>
        <v>501</v>
      </c>
      <c r="B116" s="167">
        <f t="shared" si="4"/>
        <v>38.35</v>
      </c>
      <c r="C116" s="161"/>
      <c r="D116" s="173" t="str">
        <f t="shared" si="5"/>
        <v>501</v>
      </c>
      <c r="E116" s="178" t="s">
        <v>2080</v>
      </c>
      <c r="F116" s="178" t="s">
        <v>2081</v>
      </c>
      <c r="G116" s="356">
        <v>38.35</v>
      </c>
      <c r="H116" s="90"/>
    </row>
    <row r="117" spans="1:8" s="165" customFormat="1">
      <c r="A117" s="166" t="str">
        <f t="shared" si="3"/>
        <v>501</v>
      </c>
      <c r="B117" s="167">
        <f t="shared" si="4"/>
        <v>62.73</v>
      </c>
      <c r="C117" s="161"/>
      <c r="D117" s="173" t="str">
        <f t="shared" si="5"/>
        <v>501</v>
      </c>
      <c r="E117" s="178" t="s">
        <v>2082</v>
      </c>
      <c r="F117" s="178" t="s">
        <v>2083</v>
      </c>
      <c r="G117" s="356">
        <v>62.73</v>
      </c>
      <c r="H117" s="90"/>
    </row>
    <row r="118" spans="1:8" s="165" customFormat="1">
      <c r="A118" s="166" t="str">
        <f t="shared" si="3"/>
        <v>501</v>
      </c>
      <c r="B118" s="167">
        <f t="shared" si="4"/>
        <v>60.58</v>
      </c>
      <c r="C118" s="161"/>
      <c r="D118" s="173" t="str">
        <f t="shared" si="5"/>
        <v>501</v>
      </c>
      <c r="E118" s="178" t="s">
        <v>2084</v>
      </c>
      <c r="F118" s="178" t="s">
        <v>2085</v>
      </c>
      <c r="G118" s="356">
        <v>60.58</v>
      </c>
      <c r="H118" s="90"/>
    </row>
    <row r="119" spans="1:8" s="165" customFormat="1">
      <c r="A119" s="166" t="str">
        <f t="shared" si="3"/>
        <v>501</v>
      </c>
      <c r="B119" s="167">
        <f t="shared" si="4"/>
        <v>529.27</v>
      </c>
      <c r="C119" s="161"/>
      <c r="D119" s="173" t="str">
        <f t="shared" si="5"/>
        <v>501</v>
      </c>
      <c r="E119" s="178" t="s">
        <v>2086</v>
      </c>
      <c r="F119" s="178" t="s">
        <v>2087</v>
      </c>
      <c r="G119" s="356">
        <v>529.27</v>
      </c>
      <c r="H119" s="90"/>
    </row>
    <row r="120" spans="1:8" s="165" customFormat="1">
      <c r="A120" s="166" t="str">
        <f t="shared" si="3"/>
        <v>501</v>
      </c>
      <c r="B120" s="167">
        <f t="shared" si="4"/>
        <v>60.25</v>
      </c>
      <c r="C120" s="161"/>
      <c r="D120" s="173" t="str">
        <f t="shared" si="5"/>
        <v>501</v>
      </c>
      <c r="E120" s="178" t="s">
        <v>2088</v>
      </c>
      <c r="F120" s="178" t="s">
        <v>2089</v>
      </c>
      <c r="G120" s="356">
        <v>60.25</v>
      </c>
      <c r="H120" s="90"/>
    </row>
    <row r="121" spans="1:8" s="165" customFormat="1">
      <c r="A121" s="166" t="str">
        <f t="shared" si="3"/>
        <v>501</v>
      </c>
      <c r="B121" s="167">
        <f t="shared" si="4"/>
        <v>45.89</v>
      </c>
      <c r="C121" s="161"/>
      <c r="D121" s="173" t="str">
        <f t="shared" si="5"/>
        <v>501</v>
      </c>
      <c r="E121" s="178" t="s">
        <v>2090</v>
      </c>
      <c r="F121" s="178" t="s">
        <v>2091</v>
      </c>
      <c r="G121" s="356">
        <v>45.89</v>
      </c>
      <c r="H121" s="90"/>
    </row>
    <row r="122" spans="1:8" s="165" customFormat="1">
      <c r="A122" s="166" t="str">
        <f t="shared" si="3"/>
        <v>501</v>
      </c>
      <c r="B122" s="167">
        <f t="shared" si="4"/>
        <v>9.92</v>
      </c>
      <c r="C122" s="161"/>
      <c r="D122" s="173" t="str">
        <f t="shared" si="5"/>
        <v>501</v>
      </c>
      <c r="E122" s="178" t="s">
        <v>2092</v>
      </c>
      <c r="F122" s="178" t="s">
        <v>2093</v>
      </c>
      <c r="G122" s="356">
        <v>9.92</v>
      </c>
      <c r="H122" s="90"/>
    </row>
    <row r="123" spans="1:8" s="165" customFormat="1">
      <c r="A123" s="166" t="str">
        <f t="shared" si="3"/>
        <v>501</v>
      </c>
      <c r="B123" s="167">
        <f t="shared" si="4"/>
        <v>8.27</v>
      </c>
      <c r="C123" s="161"/>
      <c r="D123" s="173" t="str">
        <f t="shared" si="5"/>
        <v>501</v>
      </c>
      <c r="E123" s="178" t="s">
        <v>2094</v>
      </c>
      <c r="F123" s="178" t="s">
        <v>2095</v>
      </c>
      <c r="G123" s="356">
        <v>8.27</v>
      </c>
      <c r="H123" s="90"/>
    </row>
    <row r="124" spans="1:8" s="165" customFormat="1">
      <c r="A124" s="166" t="str">
        <f t="shared" si="3"/>
        <v>502</v>
      </c>
      <c r="B124" s="167">
        <f t="shared" si="4"/>
        <v>32196.799999999999</v>
      </c>
      <c r="C124" s="161"/>
      <c r="D124" s="173" t="str">
        <f t="shared" si="5"/>
        <v>502</v>
      </c>
      <c r="E124" s="178" t="s">
        <v>2096</v>
      </c>
      <c r="F124" s="178" t="s">
        <v>1069</v>
      </c>
      <c r="G124" s="356">
        <v>32196.799999999999</v>
      </c>
      <c r="H124" s="90"/>
    </row>
    <row r="125" spans="1:8" s="165" customFormat="1">
      <c r="A125" s="166" t="str">
        <f t="shared" si="3"/>
        <v>502</v>
      </c>
      <c r="B125" s="167">
        <f t="shared" si="4"/>
        <v>29713.99</v>
      </c>
      <c r="C125" s="161"/>
      <c r="D125" s="173" t="str">
        <f t="shared" si="5"/>
        <v>502</v>
      </c>
      <c r="E125" s="178" t="s">
        <v>2097</v>
      </c>
      <c r="F125" s="178" t="s">
        <v>2098</v>
      </c>
      <c r="G125" s="356">
        <v>29713.99</v>
      </c>
      <c r="H125" s="90"/>
    </row>
    <row r="126" spans="1:8" s="165" customFormat="1">
      <c r="A126" s="166" t="str">
        <f t="shared" si="3"/>
        <v>502</v>
      </c>
      <c r="B126" s="167">
        <f t="shared" si="4"/>
        <v>126275.27</v>
      </c>
      <c r="C126" s="161"/>
      <c r="D126" s="173" t="str">
        <f t="shared" si="5"/>
        <v>502</v>
      </c>
      <c r="E126" s="178" t="s">
        <v>2099</v>
      </c>
      <c r="F126" s="178" t="s">
        <v>1072</v>
      </c>
      <c r="G126" s="356">
        <v>126275.27</v>
      </c>
      <c r="H126" s="90"/>
    </row>
    <row r="127" spans="1:8" s="165" customFormat="1">
      <c r="A127" s="166" t="str">
        <f t="shared" si="3"/>
        <v>502</v>
      </c>
      <c r="B127" s="167">
        <f t="shared" si="4"/>
        <v>49008.43</v>
      </c>
      <c r="C127" s="161"/>
      <c r="D127" s="173" t="str">
        <f t="shared" si="5"/>
        <v>502</v>
      </c>
      <c r="E127" s="178" t="s">
        <v>2100</v>
      </c>
      <c r="F127" s="178" t="s">
        <v>1069</v>
      </c>
      <c r="G127" s="356">
        <v>49008.43</v>
      </c>
      <c r="H127" s="90"/>
    </row>
    <row r="128" spans="1:8" s="165" customFormat="1">
      <c r="A128" s="166" t="str">
        <f t="shared" si="3"/>
        <v>502</v>
      </c>
      <c r="B128" s="167">
        <f t="shared" si="4"/>
        <v>13358.22</v>
      </c>
      <c r="C128" s="161"/>
      <c r="D128" s="173" t="str">
        <f t="shared" si="5"/>
        <v>502</v>
      </c>
      <c r="E128" s="178" t="s">
        <v>2101</v>
      </c>
      <c r="F128" s="178" t="s">
        <v>2098</v>
      </c>
      <c r="G128" s="356">
        <v>13358.22</v>
      </c>
      <c r="H128" s="90"/>
    </row>
    <row r="129" spans="1:8" s="165" customFormat="1">
      <c r="A129" s="166" t="str">
        <f t="shared" si="3"/>
        <v>502</v>
      </c>
      <c r="B129" s="167">
        <f t="shared" si="4"/>
        <v>13243.38</v>
      </c>
      <c r="C129" s="161"/>
      <c r="D129" s="173" t="str">
        <f t="shared" si="5"/>
        <v>502</v>
      </c>
      <c r="E129" s="178" t="s">
        <v>2102</v>
      </c>
      <c r="F129" s="178" t="s">
        <v>1072</v>
      </c>
      <c r="G129" s="356">
        <v>13243.38</v>
      </c>
      <c r="H129" s="90"/>
    </row>
    <row r="130" spans="1:8" s="165" customFormat="1">
      <c r="A130" s="166" t="str">
        <f t="shared" si="3"/>
        <v>511</v>
      </c>
      <c r="B130" s="167">
        <f t="shared" si="4"/>
        <v>0</v>
      </c>
      <c r="C130" s="161"/>
      <c r="D130" s="173" t="str">
        <f t="shared" si="5"/>
        <v>511</v>
      </c>
      <c r="E130" s="178" t="s">
        <v>2103</v>
      </c>
      <c r="F130" s="178" t="s">
        <v>1074</v>
      </c>
      <c r="G130" s="356">
        <v>0</v>
      </c>
      <c r="H130" s="90"/>
    </row>
    <row r="131" spans="1:8" s="165" customFormat="1">
      <c r="A131" s="166" t="str">
        <f t="shared" ref="A131:A194" si="6">D131</f>
        <v>511</v>
      </c>
      <c r="B131" s="167">
        <f t="shared" ref="B131:B194" si="7">G131</f>
        <v>10078.57</v>
      </c>
      <c r="C131" s="161"/>
      <c r="D131" s="173" t="str">
        <f t="shared" ref="D131:D194" si="8">LEFT(E131,3)</f>
        <v>511</v>
      </c>
      <c r="E131" s="178" t="s">
        <v>2104</v>
      </c>
      <c r="F131" s="178" t="s">
        <v>1075</v>
      </c>
      <c r="G131" s="356">
        <v>10078.57</v>
      </c>
      <c r="H131" s="90"/>
    </row>
    <row r="132" spans="1:8" s="165" customFormat="1">
      <c r="A132" s="166" t="str">
        <f t="shared" si="6"/>
        <v>511</v>
      </c>
      <c r="B132" s="167">
        <f t="shared" si="7"/>
        <v>19397.740000000002</v>
      </c>
      <c r="C132" s="161"/>
      <c r="D132" s="173" t="str">
        <f t="shared" si="8"/>
        <v>511</v>
      </c>
      <c r="E132" s="178" t="s">
        <v>2105</v>
      </c>
      <c r="F132" s="178" t="s">
        <v>1076</v>
      </c>
      <c r="G132" s="356">
        <v>19397.740000000002</v>
      </c>
      <c r="H132" s="90"/>
    </row>
    <row r="133" spans="1:8" s="165" customFormat="1">
      <c r="A133" s="166" t="str">
        <f t="shared" si="6"/>
        <v>511</v>
      </c>
      <c r="B133" s="167">
        <f t="shared" si="7"/>
        <v>4337.18</v>
      </c>
      <c r="C133" s="161"/>
      <c r="D133" s="173" t="str">
        <f t="shared" si="8"/>
        <v>511</v>
      </c>
      <c r="E133" s="178" t="s">
        <v>2106</v>
      </c>
      <c r="F133" s="178" t="s">
        <v>1077</v>
      </c>
      <c r="G133" s="356">
        <v>4337.18</v>
      </c>
      <c r="H133" s="90"/>
    </row>
    <row r="134" spans="1:8" s="165" customFormat="1">
      <c r="A134" s="166" t="str">
        <f t="shared" si="6"/>
        <v>511</v>
      </c>
      <c r="B134" s="167">
        <f t="shared" si="7"/>
        <v>572.62</v>
      </c>
      <c r="C134" s="161"/>
      <c r="D134" s="173" t="str">
        <f t="shared" si="8"/>
        <v>511</v>
      </c>
      <c r="E134" s="178" t="s">
        <v>2107</v>
      </c>
      <c r="F134" s="178" t="s">
        <v>1075</v>
      </c>
      <c r="G134" s="356">
        <v>572.62</v>
      </c>
      <c r="H134" s="90"/>
    </row>
    <row r="135" spans="1:8" s="165" customFormat="1">
      <c r="A135" s="166" t="str">
        <f t="shared" si="6"/>
        <v>511</v>
      </c>
      <c r="B135" s="167">
        <f t="shared" si="7"/>
        <v>201.71</v>
      </c>
      <c r="C135" s="161"/>
      <c r="D135" s="173" t="str">
        <f t="shared" si="8"/>
        <v>511</v>
      </c>
      <c r="E135" s="178" t="s">
        <v>2108</v>
      </c>
      <c r="F135" s="178" t="s">
        <v>1077</v>
      </c>
      <c r="G135" s="356">
        <v>201.71</v>
      </c>
      <c r="H135" s="90"/>
    </row>
    <row r="136" spans="1:8" s="165" customFormat="1">
      <c r="A136" s="166" t="str">
        <f t="shared" si="6"/>
        <v>512</v>
      </c>
      <c r="B136" s="167">
        <f t="shared" si="7"/>
        <v>1055.97</v>
      </c>
      <c r="C136" s="161"/>
      <c r="D136" s="173" t="str">
        <f t="shared" si="8"/>
        <v>512</v>
      </c>
      <c r="E136" s="178" t="s">
        <v>2109</v>
      </c>
      <c r="F136" s="178" t="s">
        <v>2110</v>
      </c>
      <c r="G136" s="356">
        <v>1055.97</v>
      </c>
      <c r="H136" s="90"/>
    </row>
    <row r="137" spans="1:8" s="165" customFormat="1">
      <c r="A137" s="166" t="str">
        <f t="shared" si="6"/>
        <v>512</v>
      </c>
      <c r="B137" s="167">
        <f t="shared" si="7"/>
        <v>47.77</v>
      </c>
      <c r="C137" s="161"/>
      <c r="D137" s="173" t="str">
        <f t="shared" si="8"/>
        <v>512</v>
      </c>
      <c r="E137" s="178" t="s">
        <v>2111</v>
      </c>
      <c r="F137" s="178" t="s">
        <v>2112</v>
      </c>
      <c r="G137" s="356">
        <v>47.77</v>
      </c>
      <c r="H137" s="90"/>
    </row>
    <row r="138" spans="1:8" s="165" customFormat="1">
      <c r="A138" s="166" t="str">
        <f t="shared" si="6"/>
        <v>512</v>
      </c>
      <c r="B138" s="167">
        <f t="shared" si="7"/>
        <v>23.39</v>
      </c>
      <c r="C138" s="161"/>
      <c r="D138" s="173" t="str">
        <f t="shared" si="8"/>
        <v>512</v>
      </c>
      <c r="E138" s="178" t="s">
        <v>2113</v>
      </c>
      <c r="F138" s="178" t="s">
        <v>2114</v>
      </c>
      <c r="G138" s="356">
        <v>23.39</v>
      </c>
      <c r="H138" s="90"/>
    </row>
    <row r="139" spans="1:8" s="165" customFormat="1">
      <c r="A139" s="166" t="str">
        <f t="shared" si="6"/>
        <v>513</v>
      </c>
      <c r="B139" s="167">
        <f t="shared" si="7"/>
        <v>961.23</v>
      </c>
      <c r="C139" s="161"/>
      <c r="D139" s="173" t="str">
        <f t="shared" si="8"/>
        <v>513</v>
      </c>
      <c r="E139" s="178" t="s">
        <v>2115</v>
      </c>
      <c r="F139" s="178" t="s">
        <v>2116</v>
      </c>
      <c r="G139" s="356">
        <v>961.23</v>
      </c>
      <c r="H139" s="90"/>
    </row>
    <row r="140" spans="1:8" s="165" customFormat="1">
      <c r="A140" s="166" t="str">
        <f t="shared" si="6"/>
        <v>513</v>
      </c>
      <c r="B140" s="167">
        <f t="shared" si="7"/>
        <v>0</v>
      </c>
      <c r="C140" s="161"/>
      <c r="D140" s="173" t="str">
        <f t="shared" si="8"/>
        <v>513</v>
      </c>
      <c r="E140" s="178" t="s">
        <v>2117</v>
      </c>
      <c r="F140" s="178" t="s">
        <v>2118</v>
      </c>
      <c r="G140" s="356">
        <v>0</v>
      </c>
      <c r="H140" s="90"/>
    </row>
    <row r="141" spans="1:8" s="165" customFormat="1">
      <c r="A141" s="166" t="str">
        <f t="shared" si="6"/>
        <v>518</v>
      </c>
      <c r="B141" s="167">
        <f t="shared" si="7"/>
        <v>198.87</v>
      </c>
      <c r="C141" s="161"/>
      <c r="D141" s="173" t="str">
        <f t="shared" si="8"/>
        <v>518</v>
      </c>
      <c r="E141" s="178" t="s">
        <v>2119</v>
      </c>
      <c r="F141" s="178" t="s">
        <v>1085</v>
      </c>
      <c r="G141" s="356">
        <v>198.87</v>
      </c>
      <c r="H141" s="90"/>
    </row>
    <row r="142" spans="1:8" s="165" customFormat="1">
      <c r="A142" s="166" t="str">
        <f t="shared" si="6"/>
        <v>518</v>
      </c>
      <c r="B142" s="167">
        <f t="shared" si="7"/>
        <v>25866.99</v>
      </c>
      <c r="C142" s="161"/>
      <c r="D142" s="173" t="str">
        <f t="shared" si="8"/>
        <v>518</v>
      </c>
      <c r="E142" s="178" t="s">
        <v>2120</v>
      </c>
      <c r="F142" s="178" t="s">
        <v>2121</v>
      </c>
      <c r="G142" s="356">
        <v>25866.99</v>
      </c>
      <c r="H142" s="90"/>
    </row>
    <row r="143" spans="1:8" s="165" customFormat="1">
      <c r="A143" s="166" t="str">
        <f t="shared" si="6"/>
        <v>518</v>
      </c>
      <c r="B143" s="167">
        <f t="shared" si="7"/>
        <v>144373.42000000001</v>
      </c>
      <c r="C143" s="161"/>
      <c r="D143" s="173" t="str">
        <f t="shared" si="8"/>
        <v>518</v>
      </c>
      <c r="E143" s="178" t="s">
        <v>2122</v>
      </c>
      <c r="F143" s="178" t="s">
        <v>2123</v>
      </c>
      <c r="G143" s="356">
        <v>144373.42000000001</v>
      </c>
      <c r="H143" s="90"/>
    </row>
    <row r="144" spans="1:8" s="165" customFormat="1">
      <c r="A144" s="166" t="str">
        <f t="shared" si="6"/>
        <v>518</v>
      </c>
      <c r="B144" s="167">
        <f t="shared" si="7"/>
        <v>27142.18</v>
      </c>
      <c r="C144" s="161"/>
      <c r="D144" s="173" t="str">
        <f t="shared" si="8"/>
        <v>518</v>
      </c>
      <c r="E144" s="178" t="s">
        <v>2124</v>
      </c>
      <c r="F144" s="178" t="s">
        <v>2125</v>
      </c>
      <c r="G144" s="356">
        <v>27142.18</v>
      </c>
      <c r="H144" s="90"/>
    </row>
    <row r="145" spans="1:8" s="165" customFormat="1">
      <c r="A145" s="166" t="str">
        <f t="shared" si="6"/>
        <v>518</v>
      </c>
      <c r="B145" s="167">
        <f t="shared" si="7"/>
        <v>7184.26</v>
      </c>
      <c r="C145" s="161"/>
      <c r="D145" s="173" t="str">
        <f t="shared" si="8"/>
        <v>518</v>
      </c>
      <c r="E145" s="178" t="s">
        <v>2126</v>
      </c>
      <c r="F145" s="178" t="s">
        <v>2127</v>
      </c>
      <c r="G145" s="356">
        <v>7184.26</v>
      </c>
      <c r="H145" s="90"/>
    </row>
    <row r="146" spans="1:8" s="165" customFormat="1">
      <c r="A146" s="166" t="str">
        <f t="shared" si="6"/>
        <v>518</v>
      </c>
      <c r="B146" s="167">
        <f t="shared" si="7"/>
        <v>31699.73</v>
      </c>
      <c r="C146" s="161"/>
      <c r="D146" s="173" t="str">
        <f t="shared" si="8"/>
        <v>518</v>
      </c>
      <c r="E146" s="178" t="s">
        <v>2128</v>
      </c>
      <c r="F146" s="178" t="s">
        <v>2129</v>
      </c>
      <c r="G146" s="356">
        <v>31699.73</v>
      </c>
      <c r="H146" s="90"/>
    </row>
    <row r="147" spans="1:8" s="165" customFormat="1">
      <c r="A147" s="166" t="str">
        <f t="shared" si="6"/>
        <v>518</v>
      </c>
      <c r="B147" s="167">
        <f t="shared" si="7"/>
        <v>114667.84</v>
      </c>
      <c r="C147" s="161"/>
      <c r="D147" s="173" t="str">
        <f t="shared" si="8"/>
        <v>518</v>
      </c>
      <c r="E147" s="178" t="s">
        <v>2130</v>
      </c>
      <c r="F147" s="178" t="s">
        <v>2131</v>
      </c>
      <c r="G147" s="356">
        <v>114667.84</v>
      </c>
      <c r="H147" s="90"/>
    </row>
    <row r="148" spans="1:8" s="165" customFormat="1">
      <c r="A148" s="166" t="str">
        <f t="shared" si="6"/>
        <v>518</v>
      </c>
      <c r="B148" s="167">
        <f t="shared" si="7"/>
        <v>26615.64</v>
      </c>
      <c r="C148" s="161"/>
      <c r="D148" s="173" t="str">
        <f t="shared" si="8"/>
        <v>518</v>
      </c>
      <c r="E148" s="178" t="s">
        <v>2132</v>
      </c>
      <c r="F148" s="178" t="s">
        <v>2133</v>
      </c>
      <c r="G148" s="356">
        <v>26615.64</v>
      </c>
      <c r="H148" s="90"/>
    </row>
    <row r="149" spans="1:8" s="165" customFormat="1">
      <c r="A149" s="166" t="str">
        <f t="shared" si="6"/>
        <v>518</v>
      </c>
      <c r="B149" s="167">
        <f t="shared" si="7"/>
        <v>5418.17</v>
      </c>
      <c r="C149" s="161"/>
      <c r="D149" s="173" t="str">
        <f t="shared" si="8"/>
        <v>518</v>
      </c>
      <c r="E149" s="178" t="s">
        <v>2134</v>
      </c>
      <c r="F149" s="178" t="s">
        <v>2135</v>
      </c>
      <c r="G149" s="356">
        <v>5418.17</v>
      </c>
      <c r="H149" s="90"/>
    </row>
    <row r="150" spans="1:8" s="165" customFormat="1">
      <c r="A150" s="166" t="str">
        <f t="shared" si="6"/>
        <v>518</v>
      </c>
      <c r="B150" s="167">
        <f t="shared" si="7"/>
        <v>2750.64</v>
      </c>
      <c r="C150" s="161"/>
      <c r="D150" s="173" t="str">
        <f t="shared" si="8"/>
        <v>518</v>
      </c>
      <c r="E150" s="178" t="s">
        <v>2136</v>
      </c>
      <c r="F150" s="178" t="s">
        <v>1094</v>
      </c>
      <c r="G150" s="356">
        <v>2750.64</v>
      </c>
      <c r="H150" s="90"/>
    </row>
    <row r="151" spans="1:8" s="165" customFormat="1">
      <c r="A151" s="166" t="str">
        <f t="shared" si="6"/>
        <v>518</v>
      </c>
      <c r="B151" s="167">
        <f t="shared" si="7"/>
        <v>6426.37</v>
      </c>
      <c r="C151" s="161"/>
      <c r="D151" s="173" t="str">
        <f t="shared" si="8"/>
        <v>518</v>
      </c>
      <c r="E151" s="178" t="s">
        <v>2137</v>
      </c>
      <c r="F151" s="178" t="s">
        <v>2138</v>
      </c>
      <c r="G151" s="356">
        <v>6426.37</v>
      </c>
      <c r="H151" s="90"/>
    </row>
    <row r="152" spans="1:8" s="165" customFormat="1">
      <c r="A152" s="166" t="str">
        <f t="shared" si="6"/>
        <v>518</v>
      </c>
      <c r="B152" s="167">
        <f t="shared" si="7"/>
        <v>163900</v>
      </c>
      <c r="C152" s="161"/>
      <c r="D152" s="173" t="str">
        <f t="shared" si="8"/>
        <v>518</v>
      </c>
      <c r="E152" s="178" t="s">
        <v>2141</v>
      </c>
      <c r="F152" s="178" t="s">
        <v>2142</v>
      </c>
      <c r="G152" s="356">
        <v>163900</v>
      </c>
      <c r="H152" s="90"/>
    </row>
    <row r="153" spans="1:8" s="165" customFormat="1">
      <c r="A153" s="166" t="str">
        <f t="shared" si="6"/>
        <v>518</v>
      </c>
      <c r="B153" s="167">
        <f t="shared" si="7"/>
        <v>8517.17</v>
      </c>
      <c r="C153" s="161"/>
      <c r="D153" s="173" t="str">
        <f t="shared" si="8"/>
        <v>518</v>
      </c>
      <c r="E153" s="178" t="s">
        <v>2143</v>
      </c>
      <c r="F153" s="178" t="s">
        <v>2144</v>
      </c>
      <c r="G153" s="356">
        <v>8517.17</v>
      </c>
      <c r="H153" s="90"/>
    </row>
    <row r="154" spans="1:8" s="165" customFormat="1">
      <c r="A154" s="166" t="str">
        <f t="shared" si="6"/>
        <v>518</v>
      </c>
      <c r="B154" s="167">
        <f t="shared" si="7"/>
        <v>22210.41</v>
      </c>
      <c r="C154" s="161"/>
      <c r="D154" s="173" t="str">
        <f t="shared" si="8"/>
        <v>518</v>
      </c>
      <c r="E154" s="178" t="s">
        <v>2145</v>
      </c>
      <c r="F154" s="178" t="s">
        <v>2146</v>
      </c>
      <c r="G154" s="356">
        <v>22210.41</v>
      </c>
      <c r="H154" s="90"/>
    </row>
    <row r="155" spans="1:8" s="165" customFormat="1">
      <c r="A155" s="166" t="str">
        <f t="shared" si="6"/>
        <v>518</v>
      </c>
      <c r="B155" s="167">
        <f t="shared" si="7"/>
        <v>20487.060000000001</v>
      </c>
      <c r="C155" s="161"/>
      <c r="D155" s="173" t="str">
        <f t="shared" si="8"/>
        <v>518</v>
      </c>
      <c r="E155" s="178" t="s">
        <v>2147</v>
      </c>
      <c r="F155" s="178" t="s">
        <v>2148</v>
      </c>
      <c r="G155" s="356">
        <v>20487.060000000001</v>
      </c>
      <c r="H155" s="90"/>
    </row>
    <row r="156" spans="1:8" s="165" customFormat="1">
      <c r="A156" s="166" t="str">
        <f t="shared" si="6"/>
        <v>518</v>
      </c>
      <c r="B156" s="167">
        <f t="shared" si="7"/>
        <v>17240.919999999998</v>
      </c>
      <c r="C156" s="161"/>
      <c r="D156" s="173" t="str">
        <f t="shared" si="8"/>
        <v>518</v>
      </c>
      <c r="E156" s="178" t="s">
        <v>2149</v>
      </c>
      <c r="F156" s="178" t="s">
        <v>2150</v>
      </c>
      <c r="G156" s="356">
        <v>17240.919999999998</v>
      </c>
      <c r="H156" s="90"/>
    </row>
    <row r="157" spans="1:8" s="165" customFormat="1">
      <c r="A157" s="166" t="str">
        <f t="shared" si="6"/>
        <v>518</v>
      </c>
      <c r="B157" s="167">
        <f t="shared" si="7"/>
        <v>588.41</v>
      </c>
      <c r="C157" s="161"/>
      <c r="D157" s="173" t="str">
        <f t="shared" si="8"/>
        <v>518</v>
      </c>
      <c r="E157" s="178" t="s">
        <v>2151</v>
      </c>
      <c r="F157" s="178" t="s">
        <v>2152</v>
      </c>
      <c r="G157" s="356">
        <v>588.41</v>
      </c>
      <c r="H157" s="90"/>
    </row>
    <row r="158" spans="1:8" s="165" customFormat="1">
      <c r="A158" s="166" t="str">
        <f t="shared" si="6"/>
        <v>518</v>
      </c>
      <c r="B158" s="167">
        <f t="shared" si="7"/>
        <v>10157.11</v>
      </c>
      <c r="C158" s="161"/>
      <c r="D158" s="173" t="str">
        <f t="shared" si="8"/>
        <v>518</v>
      </c>
      <c r="E158" s="178" t="s">
        <v>2153</v>
      </c>
      <c r="F158" s="178" t="s">
        <v>2154</v>
      </c>
      <c r="G158" s="356">
        <v>10157.11</v>
      </c>
      <c r="H158" s="90"/>
    </row>
    <row r="159" spans="1:8" s="165" customFormat="1">
      <c r="A159" s="166" t="str">
        <f t="shared" si="6"/>
        <v>518</v>
      </c>
      <c r="B159" s="167">
        <f t="shared" si="7"/>
        <v>46103.72</v>
      </c>
      <c r="C159" s="161"/>
      <c r="D159" s="173" t="str">
        <f t="shared" si="8"/>
        <v>518</v>
      </c>
      <c r="E159" s="178" t="s">
        <v>2155</v>
      </c>
      <c r="F159" s="178" t="s">
        <v>2156</v>
      </c>
      <c r="G159" s="356">
        <v>46103.72</v>
      </c>
      <c r="H159" s="90"/>
    </row>
    <row r="160" spans="1:8" s="165" customFormat="1">
      <c r="A160" s="166" t="str">
        <f t="shared" si="6"/>
        <v>518</v>
      </c>
      <c r="B160" s="167">
        <f t="shared" si="7"/>
        <v>11.13</v>
      </c>
      <c r="C160" s="161"/>
      <c r="D160" s="173" t="str">
        <f t="shared" si="8"/>
        <v>518</v>
      </c>
      <c r="E160" s="178" t="s">
        <v>2157</v>
      </c>
      <c r="F160" s="178" t="s">
        <v>2158</v>
      </c>
      <c r="G160" s="356">
        <v>11.13</v>
      </c>
      <c r="H160" s="90"/>
    </row>
    <row r="161" spans="1:8" s="165" customFormat="1">
      <c r="A161" s="166" t="str">
        <f t="shared" si="6"/>
        <v>518</v>
      </c>
      <c r="B161" s="167">
        <f t="shared" si="7"/>
        <v>180630.36</v>
      </c>
      <c r="C161" s="161"/>
      <c r="D161" s="173" t="str">
        <f t="shared" si="8"/>
        <v>518</v>
      </c>
      <c r="E161" s="178" t="s">
        <v>2159</v>
      </c>
      <c r="F161" s="178" t="s">
        <v>2160</v>
      </c>
      <c r="G161" s="356">
        <v>180630.36</v>
      </c>
      <c r="H161" s="90"/>
    </row>
    <row r="162" spans="1:8" s="165" customFormat="1">
      <c r="A162" s="166" t="str">
        <f t="shared" si="6"/>
        <v>518</v>
      </c>
      <c r="B162" s="167">
        <f t="shared" si="7"/>
        <v>682.48</v>
      </c>
      <c r="C162" s="161"/>
      <c r="D162" s="173" t="str">
        <f t="shared" si="8"/>
        <v>518</v>
      </c>
      <c r="E162" s="178" t="s">
        <v>2161</v>
      </c>
      <c r="F162" s="178" t="s">
        <v>2162</v>
      </c>
      <c r="G162" s="356">
        <v>682.48</v>
      </c>
      <c r="H162" s="90"/>
    </row>
    <row r="163" spans="1:8" s="165" customFormat="1">
      <c r="A163" s="166" t="str">
        <f t="shared" si="6"/>
        <v>518</v>
      </c>
      <c r="B163" s="167">
        <f t="shared" si="7"/>
        <v>128.30000000000001</v>
      </c>
      <c r="C163" s="161"/>
      <c r="D163" s="173" t="str">
        <f t="shared" si="8"/>
        <v>518</v>
      </c>
      <c r="E163" s="178" t="s">
        <v>2163</v>
      </c>
      <c r="F163" s="178" t="s">
        <v>2164</v>
      </c>
      <c r="G163" s="356">
        <v>128.30000000000001</v>
      </c>
      <c r="H163" s="90"/>
    </row>
    <row r="164" spans="1:8" s="165" customFormat="1">
      <c r="A164" s="166" t="str">
        <f t="shared" si="6"/>
        <v>518</v>
      </c>
      <c r="B164" s="167">
        <f t="shared" si="7"/>
        <v>0</v>
      </c>
      <c r="C164" s="161"/>
      <c r="D164" s="173" t="str">
        <f t="shared" si="8"/>
        <v>518</v>
      </c>
      <c r="E164" s="178" t="s">
        <v>2165</v>
      </c>
      <c r="F164" s="178" t="s">
        <v>2166</v>
      </c>
      <c r="G164" s="356">
        <v>0</v>
      </c>
      <c r="H164" s="90"/>
    </row>
    <row r="165" spans="1:8" s="165" customFormat="1">
      <c r="A165" s="166" t="str">
        <f t="shared" si="6"/>
        <v>518</v>
      </c>
      <c r="B165" s="167">
        <f t="shared" si="7"/>
        <v>520.92999999999995</v>
      </c>
      <c r="C165" s="161"/>
      <c r="D165" s="173" t="str">
        <f t="shared" si="8"/>
        <v>518</v>
      </c>
      <c r="E165" s="178" t="s">
        <v>2167</v>
      </c>
      <c r="F165" s="178" t="s">
        <v>2168</v>
      </c>
      <c r="G165" s="356">
        <v>520.92999999999995</v>
      </c>
      <c r="H165" s="90"/>
    </row>
    <row r="166" spans="1:8" s="165" customFormat="1">
      <c r="A166" s="166" t="str">
        <f t="shared" si="6"/>
        <v>518</v>
      </c>
      <c r="B166" s="167">
        <f t="shared" si="7"/>
        <v>67.42</v>
      </c>
      <c r="C166" s="161"/>
      <c r="D166" s="173" t="str">
        <f t="shared" si="8"/>
        <v>518</v>
      </c>
      <c r="E166" s="178" t="s">
        <v>2169</v>
      </c>
      <c r="F166" s="178" t="s">
        <v>2170</v>
      </c>
      <c r="G166" s="356">
        <v>67.42</v>
      </c>
      <c r="H166" s="90"/>
    </row>
    <row r="167" spans="1:8" s="165" customFormat="1">
      <c r="A167" s="166" t="str">
        <f t="shared" si="6"/>
        <v>518</v>
      </c>
      <c r="B167" s="167">
        <f t="shared" si="7"/>
        <v>508.29</v>
      </c>
      <c r="C167" s="161"/>
      <c r="D167" s="173" t="str">
        <f t="shared" si="8"/>
        <v>518</v>
      </c>
      <c r="E167" s="178" t="s">
        <v>2171</v>
      </c>
      <c r="F167" s="178" t="s">
        <v>1093</v>
      </c>
      <c r="G167" s="356">
        <v>508.29</v>
      </c>
      <c r="H167" s="90"/>
    </row>
    <row r="168" spans="1:8" s="165" customFormat="1">
      <c r="A168" s="166" t="str">
        <f t="shared" si="6"/>
        <v>518</v>
      </c>
      <c r="B168" s="167">
        <f t="shared" si="7"/>
        <v>153.46</v>
      </c>
      <c r="C168" s="161"/>
      <c r="D168" s="173" t="str">
        <f t="shared" si="8"/>
        <v>518</v>
      </c>
      <c r="E168" s="178" t="s">
        <v>2172</v>
      </c>
      <c r="F168" s="178" t="s">
        <v>2173</v>
      </c>
      <c r="G168" s="356">
        <v>153.46</v>
      </c>
      <c r="H168" s="90"/>
    </row>
    <row r="169" spans="1:8" s="165" customFormat="1">
      <c r="A169" s="166" t="str">
        <f t="shared" si="6"/>
        <v>518</v>
      </c>
      <c r="B169" s="167">
        <f t="shared" si="7"/>
        <v>69300</v>
      </c>
      <c r="C169" s="161"/>
      <c r="D169" s="173" t="str">
        <f t="shared" si="8"/>
        <v>518</v>
      </c>
      <c r="E169" s="178" t="s">
        <v>2174</v>
      </c>
      <c r="F169" s="178" t="s">
        <v>2175</v>
      </c>
      <c r="G169" s="356">
        <v>69300</v>
      </c>
      <c r="H169" s="90"/>
    </row>
    <row r="170" spans="1:8" s="165" customFormat="1">
      <c r="A170" s="166" t="str">
        <f t="shared" si="6"/>
        <v>518</v>
      </c>
      <c r="B170" s="167">
        <f t="shared" si="7"/>
        <v>476.67</v>
      </c>
      <c r="C170" s="161"/>
      <c r="D170" s="173" t="str">
        <f t="shared" si="8"/>
        <v>518</v>
      </c>
      <c r="E170" s="178" t="s">
        <v>2176</v>
      </c>
      <c r="F170" s="178" t="s">
        <v>2177</v>
      </c>
      <c r="G170" s="356">
        <v>476.67</v>
      </c>
      <c r="H170" s="90"/>
    </row>
    <row r="171" spans="1:8" s="165" customFormat="1">
      <c r="A171" s="166" t="str">
        <f t="shared" si="6"/>
        <v>518</v>
      </c>
      <c r="B171" s="167">
        <f t="shared" si="7"/>
        <v>106.61</v>
      </c>
      <c r="C171" s="161"/>
      <c r="D171" s="173" t="str">
        <f t="shared" si="8"/>
        <v>518</v>
      </c>
      <c r="E171" s="178" t="s">
        <v>2178</v>
      </c>
      <c r="F171" s="178" t="s">
        <v>2179</v>
      </c>
      <c r="G171" s="356">
        <v>106.61</v>
      </c>
      <c r="H171" s="90"/>
    </row>
    <row r="172" spans="1:8" s="165" customFormat="1">
      <c r="A172" s="166" t="str">
        <f t="shared" si="6"/>
        <v>518</v>
      </c>
      <c r="B172" s="167">
        <f t="shared" si="7"/>
        <v>29.17</v>
      </c>
      <c r="C172" s="161"/>
      <c r="D172" s="173" t="str">
        <f t="shared" si="8"/>
        <v>518</v>
      </c>
      <c r="E172" s="178" t="s">
        <v>2180</v>
      </c>
      <c r="F172" s="178" t="s">
        <v>2181</v>
      </c>
      <c r="G172" s="356">
        <v>29.17</v>
      </c>
      <c r="H172" s="90"/>
    </row>
    <row r="173" spans="1:8" s="165" customFormat="1">
      <c r="A173" s="166" t="str">
        <f t="shared" si="6"/>
        <v>518</v>
      </c>
      <c r="B173" s="167">
        <f t="shared" si="7"/>
        <v>1.59</v>
      </c>
      <c r="C173" s="161"/>
      <c r="D173" s="173" t="str">
        <f t="shared" si="8"/>
        <v>518</v>
      </c>
      <c r="E173" s="178" t="s">
        <v>2182</v>
      </c>
      <c r="F173" s="178" t="s">
        <v>2183</v>
      </c>
      <c r="G173" s="356">
        <v>1.59</v>
      </c>
      <c r="H173" s="90"/>
    </row>
    <row r="174" spans="1:8" s="165" customFormat="1">
      <c r="A174" s="166" t="str">
        <f t="shared" si="6"/>
        <v>518</v>
      </c>
      <c r="B174" s="167">
        <f t="shared" si="7"/>
        <v>854.58</v>
      </c>
      <c r="C174" s="161"/>
      <c r="D174" s="173" t="str">
        <f t="shared" si="8"/>
        <v>518</v>
      </c>
      <c r="E174" s="178" t="s">
        <v>2184</v>
      </c>
      <c r="F174" s="178" t="s">
        <v>2185</v>
      </c>
      <c r="G174" s="356">
        <v>854.58</v>
      </c>
      <c r="H174" s="90"/>
    </row>
    <row r="175" spans="1:8" s="165" customFormat="1">
      <c r="A175" s="166" t="str">
        <f t="shared" si="6"/>
        <v>521</v>
      </c>
      <c r="B175" s="167">
        <f t="shared" si="7"/>
        <v>867609.86</v>
      </c>
      <c r="C175" s="161"/>
      <c r="D175" s="173" t="str">
        <f t="shared" si="8"/>
        <v>521</v>
      </c>
      <c r="E175" s="178" t="s">
        <v>2186</v>
      </c>
      <c r="F175" s="178" t="s">
        <v>2187</v>
      </c>
      <c r="G175" s="356">
        <v>867609.86</v>
      </c>
      <c r="H175" s="90"/>
    </row>
    <row r="176" spans="1:8" s="165" customFormat="1">
      <c r="A176" s="166" t="str">
        <f t="shared" si="6"/>
        <v>521</v>
      </c>
      <c r="B176" s="167">
        <f t="shared" si="7"/>
        <v>817522.77</v>
      </c>
      <c r="C176" s="161"/>
      <c r="D176" s="173" t="str">
        <f t="shared" si="8"/>
        <v>521</v>
      </c>
      <c r="E176" s="178" t="s">
        <v>2188</v>
      </c>
      <c r="F176" s="178" t="s">
        <v>2189</v>
      </c>
      <c r="G176" s="356">
        <v>817522.77</v>
      </c>
      <c r="H176" s="90"/>
    </row>
    <row r="177" spans="1:8" s="165" customFormat="1">
      <c r="A177" s="166" t="str">
        <f t="shared" si="6"/>
        <v>521</v>
      </c>
      <c r="B177" s="167">
        <f t="shared" si="7"/>
        <v>269367.87</v>
      </c>
      <c r="C177" s="161"/>
      <c r="D177" s="173" t="str">
        <f t="shared" si="8"/>
        <v>521</v>
      </c>
      <c r="E177" s="178" t="s">
        <v>2190</v>
      </c>
      <c r="F177" s="178" t="s">
        <v>2191</v>
      </c>
      <c r="G177" s="356">
        <v>269367.87</v>
      </c>
      <c r="H177" s="90"/>
    </row>
    <row r="178" spans="1:8" s="165" customFormat="1">
      <c r="A178" s="166" t="str">
        <f t="shared" si="6"/>
        <v>521</v>
      </c>
      <c r="B178" s="167">
        <f t="shared" si="7"/>
        <v>128586.94</v>
      </c>
      <c r="C178" s="161"/>
      <c r="D178" s="173" t="str">
        <f t="shared" si="8"/>
        <v>521</v>
      </c>
      <c r="E178" s="178" t="s">
        <v>2192</v>
      </c>
      <c r="F178" s="178" t="s">
        <v>2193</v>
      </c>
      <c r="G178" s="356">
        <v>128586.94</v>
      </c>
      <c r="H178" s="90"/>
    </row>
    <row r="179" spans="1:8" s="165" customFormat="1">
      <c r="A179" s="166" t="str">
        <f t="shared" si="6"/>
        <v>521</v>
      </c>
      <c r="B179" s="167">
        <f t="shared" si="7"/>
        <v>86376.07</v>
      </c>
      <c r="C179" s="161"/>
      <c r="D179" s="173" t="str">
        <f t="shared" si="8"/>
        <v>521</v>
      </c>
      <c r="E179" s="178" t="s">
        <v>2194</v>
      </c>
      <c r="F179" s="178" t="s">
        <v>2195</v>
      </c>
      <c r="G179" s="356">
        <v>86376.07</v>
      </c>
      <c r="H179" s="90"/>
    </row>
    <row r="180" spans="1:8" s="165" customFormat="1">
      <c r="A180" s="166" t="str">
        <f t="shared" si="6"/>
        <v>521</v>
      </c>
      <c r="B180" s="167">
        <f t="shared" si="7"/>
        <v>66495.91</v>
      </c>
      <c r="C180" s="161"/>
      <c r="D180" s="173" t="str">
        <f t="shared" si="8"/>
        <v>521</v>
      </c>
      <c r="E180" s="178" t="s">
        <v>2196</v>
      </c>
      <c r="F180" s="178" t="s">
        <v>2197</v>
      </c>
      <c r="G180" s="356">
        <v>66495.91</v>
      </c>
      <c r="H180" s="90"/>
    </row>
    <row r="181" spans="1:8" s="165" customFormat="1">
      <c r="A181" s="166" t="str">
        <f t="shared" si="6"/>
        <v>521</v>
      </c>
      <c r="B181" s="167">
        <f t="shared" si="7"/>
        <v>1350</v>
      </c>
      <c r="C181" s="161"/>
      <c r="D181" s="173" t="str">
        <f t="shared" si="8"/>
        <v>521</v>
      </c>
      <c r="E181" s="178" t="s">
        <v>2198</v>
      </c>
      <c r="F181" s="178" t="s">
        <v>2199</v>
      </c>
      <c r="G181" s="356">
        <v>1350</v>
      </c>
      <c r="H181" s="90"/>
    </row>
    <row r="182" spans="1:8" s="165" customFormat="1">
      <c r="A182" s="166" t="str">
        <f t="shared" si="6"/>
        <v>521</v>
      </c>
      <c r="B182" s="167">
        <f t="shared" si="7"/>
        <v>64153.33</v>
      </c>
      <c r="C182" s="161"/>
      <c r="D182" s="173" t="str">
        <f t="shared" si="8"/>
        <v>521</v>
      </c>
      <c r="E182" s="178" t="s">
        <v>2200</v>
      </c>
      <c r="F182" s="178" t="s">
        <v>2201</v>
      </c>
      <c r="G182" s="356">
        <v>64153.33</v>
      </c>
      <c r="H182" s="90"/>
    </row>
    <row r="183" spans="1:8" s="165" customFormat="1">
      <c r="A183" s="166" t="str">
        <f t="shared" si="6"/>
        <v>521</v>
      </c>
      <c r="B183" s="167">
        <f t="shared" si="7"/>
        <v>-12732.43</v>
      </c>
      <c r="C183" s="161"/>
      <c r="D183" s="173" t="str">
        <f t="shared" si="8"/>
        <v>521</v>
      </c>
      <c r="E183" s="178" t="s">
        <v>2202</v>
      </c>
      <c r="F183" s="178" t="s">
        <v>2203</v>
      </c>
      <c r="G183" s="356">
        <v>-12732.43</v>
      </c>
      <c r="H183" s="90"/>
    </row>
    <row r="184" spans="1:8" s="165" customFormat="1">
      <c r="A184" s="166" t="str">
        <f t="shared" si="6"/>
        <v>521</v>
      </c>
      <c r="B184" s="167">
        <f t="shared" si="7"/>
        <v>10038.67</v>
      </c>
      <c r="C184" s="161"/>
      <c r="D184" s="173" t="str">
        <f t="shared" si="8"/>
        <v>521</v>
      </c>
      <c r="E184" s="178" t="s">
        <v>2204</v>
      </c>
      <c r="F184" s="178" t="s">
        <v>2205</v>
      </c>
      <c r="G184" s="356">
        <v>10038.67</v>
      </c>
      <c r="H184" s="90"/>
    </row>
    <row r="185" spans="1:8" s="165" customFormat="1">
      <c r="A185" s="166" t="str">
        <f t="shared" si="6"/>
        <v>521</v>
      </c>
      <c r="B185" s="167">
        <f t="shared" si="7"/>
        <v>15.51</v>
      </c>
      <c r="C185" s="161"/>
      <c r="D185" s="173" t="str">
        <f t="shared" si="8"/>
        <v>521</v>
      </c>
      <c r="E185" s="178" t="s">
        <v>2206</v>
      </c>
      <c r="F185" s="178" t="s">
        <v>2207</v>
      </c>
      <c r="G185" s="356">
        <v>15.51</v>
      </c>
      <c r="H185" s="90"/>
    </row>
    <row r="186" spans="1:8" s="165" customFormat="1">
      <c r="A186" s="166" t="str">
        <f t="shared" si="6"/>
        <v>524</v>
      </c>
      <c r="B186" s="167">
        <f t="shared" si="7"/>
        <v>82816.13</v>
      </c>
      <c r="C186" s="161"/>
      <c r="D186" s="173" t="str">
        <f t="shared" si="8"/>
        <v>524</v>
      </c>
      <c r="E186" s="178" t="s">
        <v>2208</v>
      </c>
      <c r="F186" s="178" t="s">
        <v>2209</v>
      </c>
      <c r="G186" s="356">
        <v>82816.13</v>
      </c>
      <c r="H186" s="90"/>
    </row>
    <row r="187" spans="1:8" s="165" customFormat="1">
      <c r="A187" s="166" t="str">
        <f t="shared" si="6"/>
        <v>524</v>
      </c>
      <c r="B187" s="167">
        <f t="shared" si="7"/>
        <v>79954.73</v>
      </c>
      <c r="C187" s="161"/>
      <c r="D187" s="173" t="str">
        <f t="shared" si="8"/>
        <v>524</v>
      </c>
      <c r="E187" s="178" t="s">
        <v>2210</v>
      </c>
      <c r="F187" s="178" t="s">
        <v>2211</v>
      </c>
      <c r="G187" s="356">
        <v>79954.73</v>
      </c>
      <c r="H187" s="90"/>
    </row>
    <row r="188" spans="1:8" s="165" customFormat="1">
      <c r="A188" s="166" t="str">
        <f t="shared" si="6"/>
        <v>524</v>
      </c>
      <c r="B188" s="167">
        <f t="shared" si="7"/>
        <v>25155.08</v>
      </c>
      <c r="C188" s="161"/>
      <c r="D188" s="173" t="str">
        <f t="shared" si="8"/>
        <v>524</v>
      </c>
      <c r="E188" s="178" t="s">
        <v>2212</v>
      </c>
      <c r="F188" s="178" t="s">
        <v>2213</v>
      </c>
      <c r="G188" s="356">
        <v>25155.08</v>
      </c>
      <c r="H188" s="90"/>
    </row>
    <row r="189" spans="1:8" s="165" customFormat="1">
      <c r="A189" s="166" t="str">
        <f t="shared" si="6"/>
        <v>524</v>
      </c>
      <c r="B189" s="167">
        <f t="shared" si="7"/>
        <v>11397.3</v>
      </c>
      <c r="C189" s="161"/>
      <c r="D189" s="173" t="str">
        <f t="shared" si="8"/>
        <v>524</v>
      </c>
      <c r="E189" s="178" t="s">
        <v>2214</v>
      </c>
      <c r="F189" s="178" t="s">
        <v>2215</v>
      </c>
      <c r="G189" s="356">
        <v>11397.3</v>
      </c>
      <c r="H189" s="90"/>
    </row>
    <row r="190" spans="1:8" s="165" customFormat="1">
      <c r="A190" s="166" t="str">
        <f t="shared" si="6"/>
        <v>524</v>
      </c>
      <c r="B190" s="167">
        <f t="shared" si="7"/>
        <v>8056.74</v>
      </c>
      <c r="C190" s="161"/>
      <c r="D190" s="173" t="str">
        <f t="shared" si="8"/>
        <v>524</v>
      </c>
      <c r="E190" s="178" t="s">
        <v>2216</v>
      </c>
      <c r="F190" s="178" t="s">
        <v>2217</v>
      </c>
      <c r="G190" s="356">
        <v>8056.74</v>
      </c>
      <c r="H190" s="90"/>
    </row>
    <row r="191" spans="1:8" s="165" customFormat="1">
      <c r="A191" s="166" t="str">
        <f t="shared" si="6"/>
        <v>524</v>
      </c>
      <c r="B191" s="167">
        <f t="shared" si="7"/>
        <v>197222.43</v>
      </c>
      <c r="C191" s="161"/>
      <c r="D191" s="173" t="str">
        <f t="shared" si="8"/>
        <v>524</v>
      </c>
      <c r="E191" s="178" t="s">
        <v>2218</v>
      </c>
      <c r="F191" s="178" t="s">
        <v>2219</v>
      </c>
      <c r="G191" s="356">
        <v>197222.43</v>
      </c>
      <c r="H191" s="90"/>
    </row>
    <row r="192" spans="1:8" s="165" customFormat="1">
      <c r="A192" s="166" t="str">
        <f t="shared" si="6"/>
        <v>524</v>
      </c>
      <c r="B192" s="167">
        <f t="shared" si="7"/>
        <v>182140.75</v>
      </c>
      <c r="C192" s="161"/>
      <c r="D192" s="173" t="str">
        <f t="shared" si="8"/>
        <v>524</v>
      </c>
      <c r="E192" s="178" t="s">
        <v>2220</v>
      </c>
      <c r="F192" s="178" t="s">
        <v>2221</v>
      </c>
      <c r="G192" s="356">
        <v>182140.75</v>
      </c>
      <c r="H192" s="90"/>
    </row>
    <row r="193" spans="1:8" s="165" customFormat="1">
      <c r="A193" s="166" t="str">
        <f t="shared" si="6"/>
        <v>524</v>
      </c>
      <c r="B193" s="167">
        <f t="shared" si="7"/>
        <v>60316.75</v>
      </c>
      <c r="C193" s="161"/>
      <c r="D193" s="173" t="str">
        <f t="shared" si="8"/>
        <v>524</v>
      </c>
      <c r="E193" s="178" t="s">
        <v>2222</v>
      </c>
      <c r="F193" s="178" t="s">
        <v>2223</v>
      </c>
      <c r="G193" s="356">
        <v>60316.75</v>
      </c>
      <c r="H193" s="90"/>
    </row>
    <row r="194" spans="1:8" s="165" customFormat="1">
      <c r="A194" s="166" t="str">
        <f t="shared" si="6"/>
        <v>524</v>
      </c>
      <c r="B194" s="167">
        <f t="shared" si="7"/>
        <v>27339.19</v>
      </c>
      <c r="C194" s="161"/>
      <c r="D194" s="173" t="str">
        <f t="shared" si="8"/>
        <v>524</v>
      </c>
      <c r="E194" s="178" t="s">
        <v>2224</v>
      </c>
      <c r="F194" s="178" t="s">
        <v>2225</v>
      </c>
      <c r="G194" s="356">
        <v>27339.19</v>
      </c>
      <c r="H194" s="90"/>
    </row>
    <row r="195" spans="1:8" s="165" customFormat="1">
      <c r="A195" s="166" t="str">
        <f t="shared" ref="A195:A258" si="9">D195</f>
        <v>524</v>
      </c>
      <c r="B195" s="167">
        <f t="shared" ref="B195:B258" si="10">G195</f>
        <v>19277.77</v>
      </c>
      <c r="C195" s="161"/>
      <c r="D195" s="173" t="str">
        <f t="shared" ref="D195:D258" si="11">LEFT(E195,3)</f>
        <v>524</v>
      </c>
      <c r="E195" s="178" t="s">
        <v>2226</v>
      </c>
      <c r="F195" s="178" t="s">
        <v>2227</v>
      </c>
      <c r="G195" s="356">
        <v>19277.77</v>
      </c>
      <c r="H195" s="90"/>
    </row>
    <row r="196" spans="1:8" s="165" customFormat="1">
      <c r="A196" s="166" t="str">
        <f t="shared" si="9"/>
        <v>524</v>
      </c>
      <c r="B196" s="167">
        <f t="shared" si="10"/>
        <v>23916.240000000002</v>
      </c>
      <c r="C196" s="161"/>
      <c r="D196" s="173" t="str">
        <f t="shared" si="11"/>
        <v>524</v>
      </c>
      <c r="E196" s="178" t="s">
        <v>2228</v>
      </c>
      <c r="F196" s="178" t="s">
        <v>2229</v>
      </c>
      <c r="G196" s="356">
        <v>23916.240000000002</v>
      </c>
      <c r="H196" s="90"/>
    </row>
    <row r="197" spans="1:8" s="165" customFormat="1">
      <c r="A197" s="166" t="str">
        <f t="shared" si="9"/>
        <v>524</v>
      </c>
      <c r="B197" s="167">
        <f t="shared" si="10"/>
        <v>24554.05</v>
      </c>
      <c r="C197" s="161"/>
      <c r="D197" s="173" t="str">
        <f t="shared" si="11"/>
        <v>524</v>
      </c>
      <c r="E197" s="178" t="s">
        <v>2230</v>
      </c>
      <c r="F197" s="178" t="s">
        <v>2231</v>
      </c>
      <c r="G197" s="356">
        <v>24554.05</v>
      </c>
      <c r="H197" s="90"/>
    </row>
    <row r="198" spans="1:8" s="165" customFormat="1">
      <c r="A198" s="166" t="str">
        <f t="shared" si="9"/>
        <v>524</v>
      </c>
      <c r="B198" s="167">
        <f t="shared" si="10"/>
        <v>8050.5</v>
      </c>
      <c r="C198" s="161"/>
      <c r="D198" s="173" t="str">
        <f t="shared" si="11"/>
        <v>524</v>
      </c>
      <c r="E198" s="178" t="s">
        <v>2232</v>
      </c>
      <c r="F198" s="178" t="s">
        <v>2233</v>
      </c>
      <c r="G198" s="356">
        <v>8050.5</v>
      </c>
      <c r="H198" s="90"/>
    </row>
    <row r="199" spans="1:8" s="165" customFormat="1">
      <c r="A199" s="166" t="str">
        <f t="shared" si="9"/>
        <v>524</v>
      </c>
      <c r="B199" s="167">
        <f t="shared" si="10"/>
        <v>2924.52</v>
      </c>
      <c r="C199" s="161"/>
      <c r="D199" s="173" t="str">
        <f t="shared" si="11"/>
        <v>524</v>
      </c>
      <c r="E199" s="178" t="s">
        <v>2234</v>
      </c>
      <c r="F199" s="178" t="s">
        <v>2235</v>
      </c>
      <c r="G199" s="356">
        <v>2924.52</v>
      </c>
      <c r="H199" s="90"/>
    </row>
    <row r="200" spans="1:8" s="165" customFormat="1">
      <c r="A200" s="166" t="str">
        <f t="shared" si="9"/>
        <v>524</v>
      </c>
      <c r="B200" s="167">
        <f t="shared" si="10"/>
        <v>2635.92</v>
      </c>
      <c r="C200" s="161"/>
      <c r="D200" s="173" t="str">
        <f t="shared" si="11"/>
        <v>524</v>
      </c>
      <c r="E200" s="178" t="s">
        <v>2236</v>
      </c>
      <c r="F200" s="178" t="s">
        <v>2237</v>
      </c>
      <c r="G200" s="356">
        <v>2635.92</v>
      </c>
      <c r="H200" s="90"/>
    </row>
    <row r="201" spans="1:8" s="165" customFormat="1">
      <c r="A201" s="166" t="str">
        <f t="shared" si="9"/>
        <v>524</v>
      </c>
      <c r="B201" s="167">
        <f t="shared" si="10"/>
        <v>2271.88</v>
      </c>
      <c r="C201" s="161"/>
      <c r="D201" s="173" t="str">
        <f t="shared" si="11"/>
        <v>524</v>
      </c>
      <c r="E201" s="178" t="s">
        <v>2238</v>
      </c>
      <c r="F201" s="178" t="s">
        <v>2239</v>
      </c>
      <c r="G201" s="356">
        <v>2271.88</v>
      </c>
      <c r="H201" s="90"/>
    </row>
    <row r="202" spans="1:8" s="165" customFormat="1">
      <c r="A202" s="166" t="str">
        <f t="shared" si="9"/>
        <v>524</v>
      </c>
      <c r="B202" s="167">
        <f t="shared" si="10"/>
        <v>2070.3000000000002</v>
      </c>
      <c r="C202" s="161"/>
      <c r="D202" s="173" t="str">
        <f t="shared" si="11"/>
        <v>524</v>
      </c>
      <c r="E202" s="178" t="s">
        <v>2240</v>
      </c>
      <c r="F202" s="178" t="s">
        <v>2241</v>
      </c>
      <c r="G202" s="356">
        <v>2070.3000000000002</v>
      </c>
      <c r="H202" s="90"/>
    </row>
    <row r="203" spans="1:8" s="165" customFormat="1">
      <c r="A203" s="166" t="str">
        <f t="shared" si="9"/>
        <v>524</v>
      </c>
      <c r="B203" s="167">
        <f t="shared" si="10"/>
        <v>688.12</v>
      </c>
      <c r="C203" s="161"/>
      <c r="D203" s="173" t="str">
        <f t="shared" si="11"/>
        <v>524</v>
      </c>
      <c r="E203" s="178" t="s">
        <v>2242</v>
      </c>
      <c r="F203" s="178" t="s">
        <v>2243</v>
      </c>
      <c r="G203" s="356">
        <v>688.12</v>
      </c>
      <c r="H203" s="90"/>
    </row>
    <row r="204" spans="1:8" s="165" customFormat="1">
      <c r="A204" s="166" t="str">
        <f t="shared" si="9"/>
        <v>524</v>
      </c>
      <c r="B204" s="167">
        <f t="shared" si="10"/>
        <v>314.25</v>
      </c>
      <c r="C204" s="161"/>
      <c r="D204" s="173" t="str">
        <f t="shared" si="11"/>
        <v>524</v>
      </c>
      <c r="E204" s="178" t="s">
        <v>2244</v>
      </c>
      <c r="F204" s="178" t="s">
        <v>2245</v>
      </c>
      <c r="G204" s="356">
        <v>314.25</v>
      </c>
      <c r="H204" s="90"/>
    </row>
    <row r="205" spans="1:8" s="165" customFormat="1">
      <c r="A205" s="166" t="str">
        <f t="shared" si="9"/>
        <v>524</v>
      </c>
      <c r="B205" s="167">
        <f t="shared" si="10"/>
        <v>224.92</v>
      </c>
      <c r="C205" s="161"/>
      <c r="D205" s="173" t="str">
        <f t="shared" si="11"/>
        <v>524</v>
      </c>
      <c r="E205" s="178" t="s">
        <v>2246</v>
      </c>
      <c r="F205" s="178" t="s">
        <v>2247</v>
      </c>
      <c r="G205" s="356">
        <v>224.92</v>
      </c>
      <c r="H205" s="90"/>
    </row>
    <row r="206" spans="1:8" s="165" customFormat="1">
      <c r="A206" s="166" t="str">
        <f t="shared" si="9"/>
        <v>524</v>
      </c>
      <c r="B206" s="167">
        <f t="shared" si="10"/>
        <v>-3045.57</v>
      </c>
      <c r="C206" s="161"/>
      <c r="D206" s="173" t="str">
        <f t="shared" si="11"/>
        <v>524</v>
      </c>
      <c r="E206" s="178" t="s">
        <v>2248</v>
      </c>
      <c r="F206" s="178" t="s">
        <v>2249</v>
      </c>
      <c r="G206" s="356">
        <v>-3045.57</v>
      </c>
      <c r="H206" s="90"/>
    </row>
    <row r="207" spans="1:8" s="165" customFormat="1">
      <c r="A207" s="166" t="str">
        <f t="shared" si="9"/>
        <v>524</v>
      </c>
      <c r="B207" s="167">
        <f t="shared" si="10"/>
        <v>22709.17</v>
      </c>
      <c r="C207" s="161"/>
      <c r="D207" s="173" t="str">
        <f t="shared" si="11"/>
        <v>524</v>
      </c>
      <c r="E207" s="178" t="s">
        <v>2250</v>
      </c>
      <c r="F207" s="178" t="s">
        <v>2251</v>
      </c>
      <c r="G207" s="356">
        <v>22709.17</v>
      </c>
      <c r="H207" s="90"/>
    </row>
    <row r="208" spans="1:8" s="165" customFormat="1">
      <c r="A208" s="166" t="str">
        <f t="shared" si="9"/>
        <v>524</v>
      </c>
      <c r="B208" s="167">
        <f t="shared" si="10"/>
        <v>900.22</v>
      </c>
      <c r="C208" s="161"/>
      <c r="D208" s="173" t="str">
        <f t="shared" si="11"/>
        <v>524</v>
      </c>
      <c r="E208" s="178" t="s">
        <v>2252</v>
      </c>
      <c r="F208" s="178" t="s">
        <v>2253</v>
      </c>
      <c r="G208" s="356">
        <v>900.22</v>
      </c>
      <c r="H208" s="90"/>
    </row>
    <row r="209" spans="1:8" s="165" customFormat="1">
      <c r="A209" s="166" t="str">
        <f t="shared" si="9"/>
        <v>524</v>
      </c>
      <c r="B209" s="167">
        <f t="shared" si="10"/>
        <v>2472.2399999999998</v>
      </c>
      <c r="C209" s="161"/>
      <c r="D209" s="173" t="str">
        <f t="shared" si="11"/>
        <v>524</v>
      </c>
      <c r="E209" s="178" t="s">
        <v>2254</v>
      </c>
      <c r="F209" s="178" t="s">
        <v>2255</v>
      </c>
      <c r="G209" s="356">
        <v>2472.2399999999998</v>
      </c>
      <c r="H209" s="90"/>
    </row>
    <row r="210" spans="1:8" s="165" customFormat="1">
      <c r="A210" s="166" t="str">
        <f t="shared" si="9"/>
        <v>524</v>
      </c>
      <c r="B210" s="167">
        <f t="shared" si="10"/>
        <v>5.48</v>
      </c>
      <c r="C210" s="161"/>
      <c r="D210" s="173" t="str">
        <f t="shared" si="11"/>
        <v>524</v>
      </c>
      <c r="E210" s="178" t="s">
        <v>2256</v>
      </c>
      <c r="F210" s="178" t="s">
        <v>2257</v>
      </c>
      <c r="G210" s="356">
        <v>5.48</v>
      </c>
      <c r="H210" s="90"/>
    </row>
    <row r="211" spans="1:8" s="165" customFormat="1">
      <c r="A211" s="166" t="str">
        <f t="shared" si="9"/>
        <v>525</v>
      </c>
      <c r="B211" s="167">
        <f t="shared" si="10"/>
        <v>1254.67</v>
      </c>
      <c r="C211" s="161"/>
      <c r="D211" s="173" t="str">
        <f t="shared" si="11"/>
        <v>525</v>
      </c>
      <c r="E211" s="178" t="s">
        <v>2258</v>
      </c>
      <c r="F211" s="178" t="s">
        <v>2259</v>
      </c>
      <c r="G211" s="356">
        <v>1254.67</v>
      </c>
      <c r="H211" s="90"/>
    </row>
    <row r="212" spans="1:8" s="165" customFormat="1">
      <c r="A212" s="166" t="str">
        <f t="shared" si="9"/>
        <v>527</v>
      </c>
      <c r="B212" s="167">
        <f t="shared" si="10"/>
        <v>15684.43</v>
      </c>
      <c r="C212" s="161"/>
      <c r="D212" s="173" t="str">
        <f t="shared" si="11"/>
        <v>527</v>
      </c>
      <c r="E212" s="178" t="s">
        <v>2260</v>
      </c>
      <c r="F212" s="178" t="s">
        <v>2261</v>
      </c>
      <c r="G212" s="356">
        <v>15684.43</v>
      </c>
      <c r="H212" s="90"/>
    </row>
    <row r="213" spans="1:8" s="165" customFormat="1">
      <c r="A213" s="166" t="str">
        <f t="shared" si="9"/>
        <v>527</v>
      </c>
      <c r="B213" s="167">
        <f t="shared" si="10"/>
        <v>1860.43</v>
      </c>
      <c r="C213" s="161"/>
      <c r="D213" s="173" t="str">
        <f t="shared" si="11"/>
        <v>527</v>
      </c>
      <c r="E213" s="178" t="s">
        <v>2262</v>
      </c>
      <c r="F213" s="178" t="s">
        <v>2263</v>
      </c>
      <c r="G213" s="356">
        <v>1860.43</v>
      </c>
      <c r="H213" s="90"/>
    </row>
    <row r="214" spans="1:8" s="165" customFormat="1">
      <c r="A214" s="166" t="str">
        <f t="shared" si="9"/>
        <v>527</v>
      </c>
      <c r="B214" s="167">
        <f t="shared" si="10"/>
        <v>5516.56</v>
      </c>
      <c r="C214" s="161"/>
      <c r="D214" s="173" t="str">
        <f t="shared" si="11"/>
        <v>527</v>
      </c>
      <c r="E214" s="178" t="s">
        <v>2264</v>
      </c>
      <c r="F214" s="178" t="s">
        <v>2265</v>
      </c>
      <c r="G214" s="356">
        <v>5516.56</v>
      </c>
      <c r="H214" s="90"/>
    </row>
    <row r="215" spans="1:8" s="165" customFormat="1">
      <c r="A215" s="166" t="str">
        <f t="shared" si="9"/>
        <v>527</v>
      </c>
      <c r="B215" s="167">
        <f t="shared" si="10"/>
        <v>405.03</v>
      </c>
      <c r="C215" s="161"/>
      <c r="D215" s="173" t="str">
        <f t="shared" si="11"/>
        <v>527</v>
      </c>
      <c r="E215" s="178" t="s">
        <v>2266</v>
      </c>
      <c r="F215" s="178" t="s">
        <v>2267</v>
      </c>
      <c r="G215" s="356">
        <v>405.03</v>
      </c>
      <c r="H215" s="90"/>
    </row>
    <row r="216" spans="1:8" s="165" customFormat="1">
      <c r="A216" s="166" t="str">
        <f t="shared" si="9"/>
        <v>527</v>
      </c>
      <c r="B216" s="167">
        <f t="shared" si="10"/>
        <v>6999.59</v>
      </c>
      <c r="C216" s="161"/>
      <c r="D216" s="173" t="str">
        <f t="shared" si="11"/>
        <v>527</v>
      </c>
      <c r="E216" s="178" t="s">
        <v>2268</v>
      </c>
      <c r="F216" s="178" t="s">
        <v>2269</v>
      </c>
      <c r="G216" s="356">
        <v>6999.59</v>
      </c>
      <c r="H216" s="90"/>
    </row>
    <row r="217" spans="1:8" s="165" customFormat="1">
      <c r="A217" s="166" t="str">
        <f t="shared" si="9"/>
        <v>527</v>
      </c>
      <c r="B217" s="167">
        <f t="shared" si="10"/>
        <v>2774.37</v>
      </c>
      <c r="C217" s="161"/>
      <c r="D217" s="173" t="str">
        <f t="shared" si="11"/>
        <v>527</v>
      </c>
      <c r="E217" s="178" t="s">
        <v>2270</v>
      </c>
      <c r="F217" s="178" t="s">
        <v>2271</v>
      </c>
      <c r="G217" s="356">
        <v>2774.37</v>
      </c>
      <c r="H217" s="90"/>
    </row>
    <row r="218" spans="1:8" s="165" customFormat="1">
      <c r="A218" s="166" t="str">
        <f t="shared" si="9"/>
        <v>527</v>
      </c>
      <c r="B218" s="167">
        <f t="shared" si="10"/>
        <v>3468.96</v>
      </c>
      <c r="C218" s="161"/>
      <c r="D218" s="173" t="str">
        <f t="shared" si="11"/>
        <v>527</v>
      </c>
      <c r="E218" s="178" t="s">
        <v>2272</v>
      </c>
      <c r="F218" s="178" t="s">
        <v>2273</v>
      </c>
      <c r="G218" s="356">
        <v>3468.96</v>
      </c>
      <c r="H218" s="90"/>
    </row>
    <row r="219" spans="1:8" s="165" customFormat="1">
      <c r="A219" s="166" t="str">
        <f t="shared" si="9"/>
        <v>527</v>
      </c>
      <c r="B219" s="167">
        <f t="shared" si="10"/>
        <v>2975.02</v>
      </c>
      <c r="C219" s="161"/>
      <c r="D219" s="173" t="str">
        <f t="shared" si="11"/>
        <v>527</v>
      </c>
      <c r="E219" s="178" t="s">
        <v>2274</v>
      </c>
      <c r="F219" s="178" t="s">
        <v>2275</v>
      </c>
      <c r="G219" s="356">
        <v>2975.02</v>
      </c>
      <c r="H219" s="90"/>
    </row>
    <row r="220" spans="1:8" s="165" customFormat="1">
      <c r="A220" s="166" t="str">
        <f t="shared" si="9"/>
        <v>527</v>
      </c>
      <c r="B220" s="167">
        <f t="shared" si="10"/>
        <v>479.74</v>
      </c>
      <c r="C220" s="161"/>
      <c r="D220" s="173" t="str">
        <f t="shared" si="11"/>
        <v>527</v>
      </c>
      <c r="E220" s="178" t="s">
        <v>2276</v>
      </c>
      <c r="F220" s="178" t="s">
        <v>2277</v>
      </c>
      <c r="G220" s="356">
        <v>479.74</v>
      </c>
      <c r="H220" s="90"/>
    </row>
    <row r="221" spans="1:8" s="165" customFormat="1">
      <c r="A221" s="166" t="str">
        <f t="shared" si="9"/>
        <v>527</v>
      </c>
      <c r="B221" s="167">
        <f t="shared" si="10"/>
        <v>19392.72</v>
      </c>
      <c r="C221" s="161"/>
      <c r="D221" s="173" t="str">
        <f t="shared" si="11"/>
        <v>527</v>
      </c>
      <c r="E221" s="178" t="s">
        <v>2278</v>
      </c>
      <c r="F221" s="178" t="s">
        <v>2279</v>
      </c>
      <c r="G221" s="356">
        <v>19392.72</v>
      </c>
      <c r="H221" s="90"/>
    </row>
    <row r="222" spans="1:8" s="165" customFormat="1">
      <c r="A222" s="166" t="str">
        <f t="shared" si="9"/>
        <v>527</v>
      </c>
      <c r="B222" s="167">
        <f t="shared" si="10"/>
        <v>899.9</v>
      </c>
      <c r="C222" s="161"/>
      <c r="D222" s="173" t="str">
        <f t="shared" si="11"/>
        <v>527</v>
      </c>
      <c r="E222" s="178" t="s">
        <v>2280</v>
      </c>
      <c r="F222" s="178" t="s">
        <v>2281</v>
      </c>
      <c r="G222" s="356">
        <v>899.9</v>
      </c>
      <c r="H222" s="90"/>
    </row>
    <row r="223" spans="1:8" s="165" customFormat="1">
      <c r="A223" s="166" t="str">
        <f t="shared" si="9"/>
        <v>527</v>
      </c>
      <c r="B223" s="167">
        <f t="shared" si="10"/>
        <v>2058.8200000000002</v>
      </c>
      <c r="C223" s="161"/>
      <c r="D223" s="173" t="str">
        <f t="shared" si="11"/>
        <v>527</v>
      </c>
      <c r="E223" s="178" t="s">
        <v>2282</v>
      </c>
      <c r="F223" s="178" t="s">
        <v>2283</v>
      </c>
      <c r="G223" s="356">
        <v>2058.8200000000002</v>
      </c>
      <c r="H223" s="90"/>
    </row>
    <row r="224" spans="1:8" s="165" customFormat="1">
      <c r="A224" s="166" t="str">
        <f t="shared" si="9"/>
        <v>527</v>
      </c>
      <c r="B224" s="167">
        <f t="shared" si="10"/>
        <v>18.7</v>
      </c>
      <c r="C224" s="161"/>
      <c r="D224" s="173" t="str">
        <f t="shared" si="11"/>
        <v>527</v>
      </c>
      <c r="E224" s="178" t="s">
        <v>2284</v>
      </c>
      <c r="F224" s="178" t="s">
        <v>2285</v>
      </c>
      <c r="G224" s="356">
        <v>18.7</v>
      </c>
      <c r="H224" s="90"/>
    </row>
    <row r="225" spans="1:8" s="165" customFormat="1">
      <c r="A225" s="166" t="str">
        <f t="shared" si="9"/>
        <v>527</v>
      </c>
      <c r="B225" s="167">
        <f t="shared" si="10"/>
        <v>87.61</v>
      </c>
      <c r="C225" s="161"/>
      <c r="D225" s="173" t="str">
        <f t="shared" si="11"/>
        <v>527</v>
      </c>
      <c r="E225" s="178" t="s">
        <v>2286</v>
      </c>
      <c r="F225" s="178" t="s">
        <v>2287</v>
      </c>
      <c r="G225" s="356">
        <v>87.61</v>
      </c>
      <c r="H225" s="90"/>
    </row>
    <row r="226" spans="1:8" s="165" customFormat="1">
      <c r="A226" s="166" t="str">
        <f t="shared" si="9"/>
        <v>527</v>
      </c>
      <c r="B226" s="167">
        <f t="shared" si="10"/>
        <v>155.28</v>
      </c>
      <c r="C226" s="161"/>
      <c r="D226" s="173" t="str">
        <f t="shared" si="11"/>
        <v>527</v>
      </c>
      <c r="E226" s="178" t="s">
        <v>2288</v>
      </c>
      <c r="F226" s="178" t="s">
        <v>2289</v>
      </c>
      <c r="G226" s="356">
        <v>155.28</v>
      </c>
      <c r="H226" s="90"/>
    </row>
    <row r="227" spans="1:8" s="165" customFormat="1">
      <c r="A227" s="166" t="str">
        <f t="shared" si="9"/>
        <v>527</v>
      </c>
      <c r="B227" s="167">
        <f t="shared" si="10"/>
        <v>166.5</v>
      </c>
      <c r="C227" s="161"/>
      <c r="D227" s="173" t="str">
        <f t="shared" si="11"/>
        <v>527</v>
      </c>
      <c r="E227" s="178" t="s">
        <v>2290</v>
      </c>
      <c r="F227" s="178" t="s">
        <v>2291</v>
      </c>
      <c r="G227" s="356">
        <v>166.5</v>
      </c>
      <c r="H227" s="90"/>
    </row>
    <row r="228" spans="1:8" s="165" customFormat="1">
      <c r="A228" s="166" t="str">
        <f t="shared" si="9"/>
        <v>527</v>
      </c>
      <c r="B228" s="167">
        <f t="shared" si="10"/>
        <v>38.57</v>
      </c>
      <c r="C228" s="161"/>
      <c r="D228" s="173" t="str">
        <f t="shared" si="11"/>
        <v>527</v>
      </c>
      <c r="E228" s="178" t="s">
        <v>2292</v>
      </c>
      <c r="F228" s="178" t="s">
        <v>2293</v>
      </c>
      <c r="G228" s="356">
        <v>38.57</v>
      </c>
      <c r="H228" s="90"/>
    </row>
    <row r="229" spans="1:8" s="165" customFormat="1">
      <c r="A229" s="166" t="str">
        <f t="shared" si="9"/>
        <v>528</v>
      </c>
      <c r="B229" s="167">
        <f t="shared" si="10"/>
        <v>874.04</v>
      </c>
      <c r="C229" s="161"/>
      <c r="D229" s="173" t="str">
        <f t="shared" si="11"/>
        <v>528</v>
      </c>
      <c r="E229" s="178" t="s">
        <v>2294</v>
      </c>
      <c r="F229" s="178" t="s">
        <v>2295</v>
      </c>
      <c r="G229" s="356">
        <v>874.04</v>
      </c>
      <c r="H229" s="90"/>
    </row>
    <row r="230" spans="1:8" s="165" customFormat="1">
      <c r="A230" s="166" t="str">
        <f t="shared" si="9"/>
        <v>538</v>
      </c>
      <c r="B230" s="167">
        <f t="shared" si="10"/>
        <v>400.33</v>
      </c>
      <c r="C230" s="161"/>
      <c r="D230" s="173" t="str">
        <f t="shared" si="11"/>
        <v>538</v>
      </c>
      <c r="E230" s="178" t="s">
        <v>2296</v>
      </c>
      <c r="F230" s="178" t="s">
        <v>2297</v>
      </c>
      <c r="G230" s="356">
        <v>400.33</v>
      </c>
      <c r="H230" s="90"/>
    </row>
    <row r="231" spans="1:8" s="165" customFormat="1">
      <c r="A231" s="166" t="str">
        <f t="shared" si="9"/>
        <v>538</v>
      </c>
      <c r="B231" s="167">
        <f t="shared" si="10"/>
        <v>0</v>
      </c>
      <c r="C231" s="161"/>
      <c r="D231" s="173" t="str">
        <f t="shared" si="11"/>
        <v>538</v>
      </c>
      <c r="E231" s="178" t="s">
        <v>2298</v>
      </c>
      <c r="F231" s="178" t="s">
        <v>2299</v>
      </c>
      <c r="G231" s="356">
        <v>0</v>
      </c>
      <c r="H231" s="90"/>
    </row>
    <row r="232" spans="1:8" s="165" customFormat="1">
      <c r="A232" s="166" t="str">
        <f t="shared" si="9"/>
        <v>538</v>
      </c>
      <c r="B232" s="167">
        <f t="shared" si="10"/>
        <v>307.93</v>
      </c>
      <c r="C232" s="161"/>
      <c r="D232" s="173" t="str">
        <f t="shared" si="11"/>
        <v>538</v>
      </c>
      <c r="E232" s="178" t="s">
        <v>2300</v>
      </c>
      <c r="F232" s="178" t="s">
        <v>2301</v>
      </c>
      <c r="G232" s="356">
        <v>307.93</v>
      </c>
      <c r="H232" s="90"/>
    </row>
    <row r="233" spans="1:8" s="165" customFormat="1">
      <c r="A233" s="166" t="str">
        <f t="shared" si="9"/>
        <v>538</v>
      </c>
      <c r="B233" s="167">
        <f t="shared" si="10"/>
        <v>39.630000000000003</v>
      </c>
      <c r="C233" s="161"/>
      <c r="D233" s="173" t="str">
        <f t="shared" si="11"/>
        <v>538</v>
      </c>
      <c r="E233" s="178" t="s">
        <v>2302</v>
      </c>
      <c r="F233" s="178" t="s">
        <v>2303</v>
      </c>
      <c r="G233" s="356">
        <v>39.630000000000003</v>
      </c>
      <c r="H233" s="90"/>
    </row>
    <row r="234" spans="1:8" s="165" customFormat="1">
      <c r="A234" s="166" t="str">
        <f t="shared" si="9"/>
        <v>541</v>
      </c>
      <c r="B234" s="167">
        <f t="shared" si="10"/>
        <v>8416</v>
      </c>
      <c r="C234" s="161"/>
      <c r="D234" s="173" t="str">
        <f t="shared" si="11"/>
        <v>541</v>
      </c>
      <c r="E234" s="178" t="s">
        <v>2304</v>
      </c>
      <c r="F234" s="178" t="s">
        <v>2305</v>
      </c>
      <c r="G234" s="356">
        <v>8416</v>
      </c>
      <c r="H234" s="90"/>
    </row>
    <row r="235" spans="1:8" s="165" customFormat="1">
      <c r="A235" s="166" t="str">
        <f t="shared" si="9"/>
        <v>542</v>
      </c>
      <c r="B235" s="167">
        <f t="shared" si="10"/>
        <v>0</v>
      </c>
      <c r="C235" s="161"/>
      <c r="D235" s="173" t="str">
        <f t="shared" si="11"/>
        <v>542</v>
      </c>
      <c r="E235" s="178" t="s">
        <v>2306</v>
      </c>
      <c r="F235" s="178" t="s">
        <v>2307</v>
      </c>
      <c r="G235" s="356">
        <v>0</v>
      </c>
      <c r="H235" s="90"/>
    </row>
    <row r="236" spans="1:8" s="165" customFormat="1">
      <c r="A236" s="166" t="str">
        <f t="shared" si="9"/>
        <v>542</v>
      </c>
      <c r="B236" s="167">
        <f t="shared" si="10"/>
        <v>2000</v>
      </c>
      <c r="C236" s="161"/>
      <c r="D236" s="173" t="str">
        <f t="shared" si="11"/>
        <v>542</v>
      </c>
      <c r="E236" s="178" t="s">
        <v>2308</v>
      </c>
      <c r="F236" s="178" t="s">
        <v>2309</v>
      </c>
      <c r="G236" s="356">
        <v>2000</v>
      </c>
      <c r="H236" s="90"/>
    </row>
    <row r="237" spans="1:8" s="165" customFormat="1">
      <c r="A237" s="166" t="str">
        <f t="shared" si="9"/>
        <v>544</v>
      </c>
      <c r="B237" s="167">
        <f t="shared" si="10"/>
        <v>1.2</v>
      </c>
      <c r="C237" s="161"/>
      <c r="D237" s="173" t="str">
        <f t="shared" si="11"/>
        <v>544</v>
      </c>
      <c r="E237" s="178" t="s">
        <v>2310</v>
      </c>
      <c r="F237" s="178" t="s">
        <v>2311</v>
      </c>
      <c r="G237" s="356">
        <v>1.2</v>
      </c>
      <c r="H237" s="90"/>
    </row>
    <row r="238" spans="1:8" s="165" customFormat="1">
      <c r="A238" s="166" t="str">
        <f t="shared" si="9"/>
        <v>545</v>
      </c>
      <c r="B238" s="167">
        <f t="shared" si="10"/>
        <v>8.56</v>
      </c>
      <c r="C238" s="161"/>
      <c r="D238" s="173" t="str">
        <f t="shared" si="11"/>
        <v>545</v>
      </c>
      <c r="E238" s="178" t="s">
        <v>2312</v>
      </c>
      <c r="F238" s="178" t="s">
        <v>2313</v>
      </c>
      <c r="G238" s="356">
        <v>8.56</v>
      </c>
      <c r="H238" s="90"/>
    </row>
    <row r="239" spans="1:8" s="165" customFormat="1">
      <c r="A239" s="166" t="str">
        <f t="shared" si="9"/>
        <v>548</v>
      </c>
      <c r="B239" s="167">
        <f t="shared" si="10"/>
        <v>0</v>
      </c>
      <c r="C239" s="161"/>
      <c r="D239" s="173" t="str">
        <f t="shared" si="11"/>
        <v>548</v>
      </c>
      <c r="E239" s="178" t="s">
        <v>2314</v>
      </c>
      <c r="F239" s="178" t="s">
        <v>2315</v>
      </c>
      <c r="G239" s="356">
        <v>0</v>
      </c>
      <c r="H239" s="90"/>
    </row>
    <row r="240" spans="1:8" s="165" customFormat="1">
      <c r="A240" s="166" t="str">
        <f t="shared" si="9"/>
        <v>548</v>
      </c>
      <c r="B240" s="167">
        <f t="shared" si="10"/>
        <v>45000</v>
      </c>
      <c r="C240" s="161"/>
      <c r="D240" s="173" t="str">
        <f t="shared" si="11"/>
        <v>548</v>
      </c>
      <c r="E240" s="178" t="s">
        <v>2316</v>
      </c>
      <c r="F240" s="178" t="s">
        <v>2317</v>
      </c>
      <c r="G240" s="356">
        <v>45000</v>
      </c>
      <c r="H240" s="90"/>
    </row>
    <row r="241" spans="1:8" s="165" customFormat="1">
      <c r="A241" s="166" t="str">
        <f t="shared" si="9"/>
        <v>549</v>
      </c>
      <c r="B241" s="167">
        <f t="shared" si="10"/>
        <v>11607.01</v>
      </c>
      <c r="C241" s="161"/>
      <c r="D241" s="173" t="str">
        <f t="shared" si="11"/>
        <v>549</v>
      </c>
      <c r="E241" s="178" t="s">
        <v>2318</v>
      </c>
      <c r="F241" s="178" t="s">
        <v>2319</v>
      </c>
      <c r="G241" s="356">
        <v>11607.01</v>
      </c>
      <c r="H241" s="90"/>
    </row>
    <row r="242" spans="1:8" s="165" customFormat="1">
      <c r="A242" s="166" t="str">
        <f t="shared" si="9"/>
        <v>549</v>
      </c>
      <c r="B242" s="167">
        <f t="shared" si="10"/>
        <v>9315.34</v>
      </c>
      <c r="C242" s="161"/>
      <c r="D242" s="173" t="str">
        <f t="shared" si="11"/>
        <v>549</v>
      </c>
      <c r="E242" s="178" t="s">
        <v>2320</v>
      </c>
      <c r="F242" s="178" t="s">
        <v>2321</v>
      </c>
      <c r="G242" s="356">
        <v>9315.34</v>
      </c>
      <c r="H242" s="90"/>
    </row>
    <row r="243" spans="1:8" s="165" customFormat="1">
      <c r="A243" s="166" t="str">
        <f t="shared" si="9"/>
        <v>549</v>
      </c>
      <c r="B243" s="167">
        <f t="shared" si="10"/>
        <v>-10000</v>
      </c>
      <c r="C243" s="161"/>
      <c r="D243" s="173" t="str">
        <f t="shared" si="11"/>
        <v>549</v>
      </c>
      <c r="E243" s="178" t="s">
        <v>2322</v>
      </c>
      <c r="F243" s="178" t="s">
        <v>2323</v>
      </c>
      <c r="G243" s="356">
        <v>-10000</v>
      </c>
      <c r="H243" s="90"/>
    </row>
    <row r="244" spans="1:8" s="165" customFormat="1">
      <c r="A244" s="166" t="str">
        <f t="shared" si="9"/>
        <v>549</v>
      </c>
      <c r="B244" s="167">
        <f t="shared" si="10"/>
        <v>1573.91</v>
      </c>
      <c r="C244" s="161"/>
      <c r="D244" s="173" t="str">
        <f t="shared" si="11"/>
        <v>549</v>
      </c>
      <c r="E244" s="178" t="s">
        <v>2324</v>
      </c>
      <c r="F244" s="178" t="s">
        <v>2325</v>
      </c>
      <c r="G244" s="356">
        <v>1573.91</v>
      </c>
      <c r="H244" s="90"/>
    </row>
    <row r="245" spans="1:8" s="165" customFormat="1">
      <c r="A245" s="166" t="str">
        <f t="shared" si="9"/>
        <v>549</v>
      </c>
      <c r="B245" s="167">
        <f t="shared" si="10"/>
        <v>1171.33</v>
      </c>
      <c r="C245" s="161"/>
      <c r="D245" s="173" t="str">
        <f t="shared" si="11"/>
        <v>549</v>
      </c>
      <c r="E245" s="178" t="s">
        <v>2326</v>
      </c>
      <c r="F245" s="178" t="s">
        <v>2327</v>
      </c>
      <c r="G245" s="356">
        <v>1171.33</v>
      </c>
      <c r="H245" s="90"/>
    </row>
    <row r="246" spans="1:8" s="165" customFormat="1">
      <c r="A246" s="166" t="str">
        <f t="shared" si="9"/>
        <v>549</v>
      </c>
      <c r="B246" s="167">
        <f t="shared" si="10"/>
        <v>-24.55</v>
      </c>
      <c r="C246" s="161"/>
      <c r="D246" s="173" t="str">
        <f t="shared" si="11"/>
        <v>549</v>
      </c>
      <c r="E246" s="178" t="s">
        <v>2328</v>
      </c>
      <c r="F246" s="178" t="s">
        <v>2329</v>
      </c>
      <c r="G246" s="356">
        <v>-24.55</v>
      </c>
      <c r="H246" s="90"/>
    </row>
    <row r="247" spans="1:8" s="165" customFormat="1">
      <c r="A247" s="166" t="str">
        <f t="shared" si="9"/>
        <v>549</v>
      </c>
      <c r="B247" s="167">
        <f t="shared" si="10"/>
        <v>210.73</v>
      </c>
      <c r="C247" s="161"/>
      <c r="D247" s="173" t="str">
        <f t="shared" si="11"/>
        <v>549</v>
      </c>
      <c r="E247" s="178" t="s">
        <v>2330</v>
      </c>
      <c r="F247" s="178" t="s">
        <v>2331</v>
      </c>
      <c r="G247" s="356">
        <v>210.73</v>
      </c>
      <c r="H247" s="90"/>
    </row>
    <row r="248" spans="1:8" s="165" customFormat="1">
      <c r="A248" s="166" t="str">
        <f t="shared" si="9"/>
        <v>549</v>
      </c>
      <c r="B248" s="167">
        <f t="shared" si="10"/>
        <v>163.69999999999999</v>
      </c>
      <c r="C248" s="161"/>
      <c r="D248" s="173" t="str">
        <f t="shared" si="11"/>
        <v>549</v>
      </c>
      <c r="E248" s="178" t="s">
        <v>2332</v>
      </c>
      <c r="F248" s="178" t="s">
        <v>2333</v>
      </c>
      <c r="G248" s="356">
        <v>163.69999999999999</v>
      </c>
      <c r="H248" s="90"/>
    </row>
    <row r="249" spans="1:8" s="165" customFormat="1">
      <c r="A249" s="166" t="str">
        <f t="shared" si="9"/>
        <v>549</v>
      </c>
      <c r="B249" s="167">
        <f t="shared" si="10"/>
        <v>92.87</v>
      </c>
      <c r="C249" s="161"/>
      <c r="D249" s="173" t="str">
        <f t="shared" si="11"/>
        <v>549</v>
      </c>
      <c r="E249" s="178" t="s">
        <v>2334</v>
      </c>
      <c r="F249" s="178" t="s">
        <v>2335</v>
      </c>
      <c r="G249" s="356">
        <v>92.87</v>
      </c>
      <c r="H249" s="90"/>
    </row>
    <row r="250" spans="1:8" s="165" customFormat="1">
      <c r="A250" s="166" t="str">
        <f t="shared" si="9"/>
        <v>551</v>
      </c>
      <c r="B250" s="167">
        <f t="shared" si="10"/>
        <v>750</v>
      </c>
      <c r="C250" s="161"/>
      <c r="D250" s="173" t="str">
        <f t="shared" si="11"/>
        <v>551</v>
      </c>
      <c r="E250" s="178" t="s">
        <v>2336</v>
      </c>
      <c r="F250" s="178" t="s">
        <v>2337</v>
      </c>
      <c r="G250" s="356">
        <v>750</v>
      </c>
      <c r="H250" s="90"/>
    </row>
    <row r="251" spans="1:8" s="165" customFormat="1">
      <c r="A251" s="166" t="str">
        <f t="shared" si="9"/>
        <v>551</v>
      </c>
      <c r="B251" s="167">
        <f t="shared" si="10"/>
        <v>2264.2800000000002</v>
      </c>
      <c r="C251" s="161"/>
      <c r="D251" s="173" t="str">
        <f t="shared" si="11"/>
        <v>551</v>
      </c>
      <c r="E251" s="178" t="s">
        <v>2338</v>
      </c>
      <c r="F251" s="178" t="s">
        <v>2339</v>
      </c>
      <c r="G251" s="356">
        <v>2264.2800000000002</v>
      </c>
      <c r="H251" s="90"/>
    </row>
    <row r="252" spans="1:8" s="165" customFormat="1">
      <c r="A252" s="166" t="str">
        <f t="shared" si="9"/>
        <v>551</v>
      </c>
      <c r="B252" s="167">
        <f t="shared" si="10"/>
        <v>873.75</v>
      </c>
      <c r="C252" s="161"/>
      <c r="D252" s="173" t="str">
        <f t="shared" si="11"/>
        <v>551</v>
      </c>
      <c r="E252" s="178" t="s">
        <v>2340</v>
      </c>
      <c r="F252" s="178" t="s">
        <v>2341</v>
      </c>
      <c r="G252" s="356">
        <v>873.75</v>
      </c>
      <c r="H252" s="90"/>
    </row>
    <row r="253" spans="1:8" s="165" customFormat="1">
      <c r="A253" s="166" t="str">
        <f t="shared" si="9"/>
        <v>551</v>
      </c>
      <c r="B253" s="167">
        <f t="shared" si="10"/>
        <v>297.33999999999997</v>
      </c>
      <c r="C253" s="161"/>
      <c r="D253" s="173" t="str">
        <f t="shared" si="11"/>
        <v>551</v>
      </c>
      <c r="E253" s="178" t="s">
        <v>2342</v>
      </c>
      <c r="F253" s="178" t="s">
        <v>2343</v>
      </c>
      <c r="G253" s="356">
        <v>297.33999999999997</v>
      </c>
      <c r="H253" s="90"/>
    </row>
    <row r="254" spans="1:8" s="165" customFormat="1">
      <c r="A254" s="166" t="str">
        <f t="shared" si="9"/>
        <v>551</v>
      </c>
      <c r="B254" s="167">
        <f t="shared" si="10"/>
        <v>99.48</v>
      </c>
      <c r="C254" s="161"/>
      <c r="D254" s="173" t="str">
        <f t="shared" si="11"/>
        <v>551</v>
      </c>
      <c r="E254" s="178" t="s">
        <v>2344</v>
      </c>
      <c r="F254" s="178" t="s">
        <v>2345</v>
      </c>
      <c r="G254" s="356">
        <v>99.48</v>
      </c>
      <c r="H254" s="90"/>
    </row>
    <row r="255" spans="1:8" s="165" customFormat="1">
      <c r="A255" s="166" t="str">
        <f t="shared" si="9"/>
        <v>551</v>
      </c>
      <c r="B255" s="167">
        <f t="shared" si="10"/>
        <v>237.48</v>
      </c>
      <c r="C255" s="161"/>
      <c r="D255" s="173" t="str">
        <f t="shared" si="11"/>
        <v>551</v>
      </c>
      <c r="E255" s="178" t="s">
        <v>2346</v>
      </c>
      <c r="F255" s="178" t="s">
        <v>2347</v>
      </c>
      <c r="G255" s="356">
        <v>237.48</v>
      </c>
      <c r="H255" s="90"/>
    </row>
    <row r="256" spans="1:8" s="165" customFormat="1">
      <c r="A256" s="166" t="str">
        <f t="shared" si="9"/>
        <v>551</v>
      </c>
      <c r="B256" s="167">
        <f t="shared" si="10"/>
        <v>982.17</v>
      </c>
      <c r="C256" s="161"/>
      <c r="D256" s="173" t="str">
        <f t="shared" si="11"/>
        <v>551</v>
      </c>
      <c r="E256" s="178" t="s">
        <v>2348</v>
      </c>
      <c r="F256" s="178" t="s">
        <v>2349</v>
      </c>
      <c r="G256" s="356">
        <v>982.17</v>
      </c>
      <c r="H256" s="90"/>
    </row>
    <row r="257" spans="1:8" s="165" customFormat="1">
      <c r="A257" s="166" t="str">
        <f t="shared" si="9"/>
        <v>551</v>
      </c>
      <c r="B257" s="167">
        <f t="shared" si="10"/>
        <v>56.36</v>
      </c>
      <c r="C257" s="161"/>
      <c r="D257" s="173" t="str">
        <f t="shared" si="11"/>
        <v>551</v>
      </c>
      <c r="E257" s="178" t="s">
        <v>2350</v>
      </c>
      <c r="F257" s="178" t="s">
        <v>2351</v>
      </c>
      <c r="G257" s="356">
        <v>56.36</v>
      </c>
      <c r="H257" s="90"/>
    </row>
    <row r="258" spans="1:8" s="165" customFormat="1">
      <c r="A258" s="166" t="str">
        <f t="shared" si="9"/>
        <v>552</v>
      </c>
      <c r="B258" s="167">
        <f t="shared" si="10"/>
        <v>3375</v>
      </c>
      <c r="C258" s="161"/>
      <c r="D258" s="173" t="str">
        <f t="shared" si="11"/>
        <v>552</v>
      </c>
      <c r="E258" s="178" t="s">
        <v>2352</v>
      </c>
      <c r="F258" s="178" t="s">
        <v>2353</v>
      </c>
      <c r="G258" s="356">
        <v>3375</v>
      </c>
      <c r="H258" s="90"/>
    </row>
    <row r="259" spans="1:8" s="165" customFormat="1">
      <c r="A259" s="166" t="str">
        <f t="shared" ref="A259:A313" si="12">D259</f>
        <v>552</v>
      </c>
      <c r="B259" s="167">
        <f t="shared" ref="B259:B313" si="13">G259</f>
        <v>46751.73</v>
      </c>
      <c r="C259" s="161"/>
      <c r="D259" s="173" t="str">
        <f t="shared" ref="D259:D322" si="14">LEFT(E259,3)</f>
        <v>552</v>
      </c>
      <c r="E259" s="178" t="s">
        <v>2354</v>
      </c>
      <c r="F259" s="178" t="s">
        <v>2355</v>
      </c>
      <c r="G259" s="356">
        <v>46751.73</v>
      </c>
      <c r="H259" s="90"/>
    </row>
    <row r="260" spans="1:8" s="165" customFormat="1">
      <c r="A260" s="166" t="str">
        <f t="shared" si="12"/>
        <v>554</v>
      </c>
      <c r="B260" s="167">
        <f t="shared" si="13"/>
        <v>211111.74</v>
      </c>
      <c r="C260" s="161"/>
      <c r="D260" s="173" t="str">
        <f t="shared" si="14"/>
        <v>554</v>
      </c>
      <c r="E260" s="178" t="s">
        <v>2356</v>
      </c>
      <c r="F260" s="178" t="s">
        <v>2357</v>
      </c>
      <c r="G260" s="356">
        <v>211111.74</v>
      </c>
      <c r="H260" s="90"/>
    </row>
    <row r="261" spans="1:8" s="165" customFormat="1">
      <c r="A261" s="166" t="str">
        <f t="shared" si="12"/>
        <v>554</v>
      </c>
      <c r="B261" s="167">
        <f t="shared" si="13"/>
        <v>63805.440000000002</v>
      </c>
      <c r="C261" s="161"/>
      <c r="D261" s="173" t="str">
        <f t="shared" si="14"/>
        <v>554</v>
      </c>
      <c r="E261" s="178" t="s">
        <v>2358</v>
      </c>
      <c r="F261" s="178" t="s">
        <v>2359</v>
      </c>
      <c r="G261" s="356">
        <v>63805.440000000002</v>
      </c>
      <c r="H261" s="90"/>
    </row>
    <row r="262" spans="1:8" s="165" customFormat="1">
      <c r="A262" s="166" t="str">
        <f t="shared" si="12"/>
        <v>554</v>
      </c>
      <c r="B262" s="167">
        <f t="shared" si="13"/>
        <v>64290.26</v>
      </c>
      <c r="C262" s="161"/>
      <c r="D262" s="173" t="str">
        <f t="shared" si="14"/>
        <v>554</v>
      </c>
      <c r="E262" s="178" t="s">
        <v>2360</v>
      </c>
      <c r="F262" s="178" t="s">
        <v>2361</v>
      </c>
      <c r="G262" s="356">
        <v>64290.26</v>
      </c>
      <c r="H262" s="90"/>
    </row>
    <row r="263" spans="1:8" s="165" customFormat="1">
      <c r="A263" s="166" t="str">
        <f t="shared" si="12"/>
        <v>558</v>
      </c>
      <c r="B263" s="167">
        <f t="shared" si="13"/>
        <v>0</v>
      </c>
      <c r="C263" s="161"/>
      <c r="D263" s="173" t="str">
        <f t="shared" si="14"/>
        <v>558</v>
      </c>
      <c r="E263" s="178" t="s">
        <v>2362</v>
      </c>
      <c r="F263" s="178" t="s">
        <v>2363</v>
      </c>
      <c r="G263" s="356">
        <v>0</v>
      </c>
      <c r="H263" s="90"/>
    </row>
    <row r="264" spans="1:8" s="165" customFormat="1">
      <c r="A264" s="166" t="str">
        <f t="shared" si="12"/>
        <v>558</v>
      </c>
      <c r="B264" s="167">
        <f t="shared" si="13"/>
        <v>-1353.89</v>
      </c>
      <c r="C264" s="161"/>
      <c r="D264" s="173" t="str">
        <f t="shared" si="14"/>
        <v>558</v>
      </c>
      <c r="E264" s="178" t="s">
        <v>2364</v>
      </c>
      <c r="F264" s="178" t="s">
        <v>2365</v>
      </c>
      <c r="G264" s="356">
        <v>-1353.89</v>
      </c>
      <c r="H264" s="90"/>
    </row>
    <row r="265" spans="1:8" s="165" customFormat="1">
      <c r="A265" s="166" t="str">
        <f t="shared" si="12"/>
        <v>558</v>
      </c>
      <c r="B265" s="167">
        <f t="shared" si="13"/>
        <v>1129.74</v>
      </c>
      <c r="C265" s="161"/>
      <c r="D265" s="173" t="str">
        <f t="shared" si="14"/>
        <v>558</v>
      </c>
      <c r="E265" s="178" t="s">
        <v>2366</v>
      </c>
      <c r="F265" s="178" t="s">
        <v>2367</v>
      </c>
      <c r="G265" s="356">
        <v>1129.74</v>
      </c>
      <c r="H265" s="90"/>
    </row>
    <row r="266" spans="1:8" s="165" customFormat="1">
      <c r="A266" s="166" t="str">
        <f t="shared" si="12"/>
        <v>591</v>
      </c>
      <c r="B266" s="167">
        <f t="shared" si="13"/>
        <v>0</v>
      </c>
      <c r="C266" s="161"/>
      <c r="D266" s="173" t="str">
        <f t="shared" si="14"/>
        <v>591</v>
      </c>
      <c r="E266" s="178" t="s">
        <v>2368</v>
      </c>
      <c r="F266" s="178" t="s">
        <v>2369</v>
      </c>
      <c r="G266" s="356">
        <v>0</v>
      </c>
      <c r="H266" s="90"/>
    </row>
    <row r="267" spans="1:8" s="165" customFormat="1">
      <c r="A267" s="166" t="str">
        <f t="shared" si="12"/>
        <v>602</v>
      </c>
      <c r="B267" s="167">
        <f t="shared" si="13"/>
        <v>-17882.759999999998</v>
      </c>
      <c r="C267" s="161"/>
      <c r="D267" s="173" t="str">
        <f t="shared" si="14"/>
        <v>602</v>
      </c>
      <c r="E267" s="178" t="s">
        <v>2370</v>
      </c>
      <c r="F267" s="178" t="s">
        <v>2371</v>
      </c>
      <c r="G267" s="356">
        <v>-17882.759999999998</v>
      </c>
      <c r="H267" s="90"/>
    </row>
    <row r="268" spans="1:8" s="165" customFormat="1">
      <c r="A268" s="166" t="str">
        <f t="shared" si="12"/>
        <v>602</v>
      </c>
      <c r="B268" s="167">
        <f t="shared" si="13"/>
        <v>0</v>
      </c>
      <c r="C268" s="161"/>
      <c r="D268" s="173" t="str">
        <f t="shared" si="14"/>
        <v>602</v>
      </c>
      <c r="E268" s="178" t="s">
        <v>2372</v>
      </c>
      <c r="F268" s="178" t="s">
        <v>2373</v>
      </c>
      <c r="G268" s="356">
        <v>0</v>
      </c>
      <c r="H268" s="90"/>
    </row>
    <row r="269" spans="1:8" s="165" customFormat="1">
      <c r="A269" s="166" t="str">
        <f t="shared" si="12"/>
        <v>602</v>
      </c>
      <c r="B269" s="167">
        <f t="shared" si="13"/>
        <v>-3793.5</v>
      </c>
      <c r="C269" s="161"/>
      <c r="D269" s="173" t="str">
        <f t="shared" si="14"/>
        <v>602</v>
      </c>
      <c r="E269" s="178" t="s">
        <v>2374</v>
      </c>
      <c r="F269" s="178" t="s">
        <v>2375</v>
      </c>
      <c r="G269" s="356">
        <v>-3793.5</v>
      </c>
      <c r="H269" s="90"/>
    </row>
    <row r="270" spans="1:8" s="165" customFormat="1">
      <c r="A270" s="166" t="str">
        <f t="shared" si="12"/>
        <v>602</v>
      </c>
      <c r="B270" s="167">
        <f t="shared" si="13"/>
        <v>-9249.07</v>
      </c>
      <c r="C270" s="161"/>
      <c r="D270" s="173" t="str">
        <f t="shared" si="14"/>
        <v>602</v>
      </c>
      <c r="E270" s="178" t="s">
        <v>2376</v>
      </c>
      <c r="F270" s="178" t="s">
        <v>2377</v>
      </c>
      <c r="G270" s="356">
        <v>-9249.07</v>
      </c>
      <c r="H270" s="90"/>
    </row>
    <row r="271" spans="1:8" s="165" customFormat="1">
      <c r="A271" s="166" t="str">
        <f t="shared" si="12"/>
        <v>602</v>
      </c>
      <c r="B271" s="167">
        <f t="shared" si="13"/>
        <v>-19023.63</v>
      </c>
      <c r="C271" s="161"/>
      <c r="D271" s="173" t="str">
        <f t="shared" si="14"/>
        <v>602</v>
      </c>
      <c r="E271" s="178" t="s">
        <v>2378</v>
      </c>
      <c r="F271" s="178" t="s">
        <v>2379</v>
      </c>
      <c r="G271" s="356">
        <v>-19023.63</v>
      </c>
      <c r="H271" s="90"/>
    </row>
    <row r="272" spans="1:8" s="165" customFormat="1">
      <c r="A272" s="166" t="str">
        <f t="shared" si="12"/>
        <v>602</v>
      </c>
      <c r="B272" s="167">
        <f t="shared" si="13"/>
        <v>-5812.79</v>
      </c>
      <c r="C272" s="161"/>
      <c r="D272" s="173" t="str">
        <f t="shared" si="14"/>
        <v>602</v>
      </c>
      <c r="E272" s="178" t="s">
        <v>2380</v>
      </c>
      <c r="F272" s="178" t="s">
        <v>2381</v>
      </c>
      <c r="G272" s="356">
        <v>-5812.79</v>
      </c>
      <c r="H272" s="90"/>
    </row>
    <row r="273" spans="1:8" s="165" customFormat="1">
      <c r="A273" s="166" t="str">
        <f t="shared" si="12"/>
        <v>602</v>
      </c>
      <c r="B273" s="167">
        <f t="shared" si="13"/>
        <v>-10314.06</v>
      </c>
      <c r="C273" s="161"/>
      <c r="D273" s="173" t="str">
        <f t="shared" si="14"/>
        <v>602</v>
      </c>
      <c r="E273" s="178" t="s">
        <v>2382</v>
      </c>
      <c r="F273" s="178" t="s">
        <v>2383</v>
      </c>
      <c r="G273" s="356">
        <v>-10314.06</v>
      </c>
      <c r="H273" s="90"/>
    </row>
    <row r="274" spans="1:8" s="165" customFormat="1">
      <c r="A274" s="166" t="str">
        <f t="shared" si="12"/>
        <v>602</v>
      </c>
      <c r="B274" s="167">
        <f t="shared" si="13"/>
        <v>-1453.14</v>
      </c>
      <c r="C274" s="161"/>
      <c r="D274" s="173" t="str">
        <f t="shared" si="14"/>
        <v>602</v>
      </c>
      <c r="E274" s="178" t="s">
        <v>2384</v>
      </c>
      <c r="F274" s="178" t="s">
        <v>2385</v>
      </c>
      <c r="G274" s="356">
        <v>-1453.14</v>
      </c>
      <c r="H274" s="90"/>
    </row>
    <row r="275" spans="1:8" s="165" customFormat="1">
      <c r="A275" s="166" t="str">
        <f t="shared" si="12"/>
        <v>602</v>
      </c>
      <c r="B275" s="167">
        <f t="shared" si="13"/>
        <v>-2201.6999999999998</v>
      </c>
      <c r="C275" s="161"/>
      <c r="D275" s="173" t="str">
        <f t="shared" si="14"/>
        <v>602</v>
      </c>
      <c r="E275" s="178" t="s">
        <v>2386</v>
      </c>
      <c r="F275" s="178" t="s">
        <v>2387</v>
      </c>
      <c r="G275" s="356">
        <v>-2201.6999999999998</v>
      </c>
      <c r="H275" s="90"/>
    </row>
    <row r="276" spans="1:8" s="165" customFormat="1">
      <c r="A276" s="166" t="str">
        <f t="shared" si="12"/>
        <v>602</v>
      </c>
      <c r="B276" s="167">
        <f t="shared" si="13"/>
        <v>-1926.54</v>
      </c>
      <c r="C276" s="161"/>
      <c r="D276" s="173" t="str">
        <f t="shared" si="14"/>
        <v>602</v>
      </c>
      <c r="E276" s="178" t="s">
        <v>2388</v>
      </c>
      <c r="F276" s="178" t="s">
        <v>2389</v>
      </c>
      <c r="G276" s="356">
        <v>-1926.54</v>
      </c>
      <c r="H276" s="90"/>
    </row>
    <row r="277" spans="1:8" s="165" customFormat="1">
      <c r="A277" s="166" t="str">
        <f t="shared" si="12"/>
        <v>602</v>
      </c>
      <c r="B277" s="167">
        <f t="shared" si="13"/>
        <v>-400</v>
      </c>
      <c r="C277" s="161"/>
      <c r="D277" s="173" t="str">
        <f t="shared" si="14"/>
        <v>602</v>
      </c>
      <c r="E277" s="178" t="s">
        <v>2390</v>
      </c>
      <c r="F277" s="178" t="s">
        <v>2391</v>
      </c>
      <c r="G277" s="356">
        <v>-400</v>
      </c>
      <c r="H277" s="90"/>
    </row>
    <row r="278" spans="1:8" s="165" customFormat="1">
      <c r="A278" s="166" t="str">
        <f t="shared" si="12"/>
        <v>602</v>
      </c>
      <c r="B278" s="167">
        <f t="shared" si="13"/>
        <v>0</v>
      </c>
      <c r="C278" s="161"/>
      <c r="D278" s="173" t="str">
        <f t="shared" si="14"/>
        <v>602</v>
      </c>
      <c r="E278" s="178" t="s">
        <v>2392</v>
      </c>
      <c r="F278" s="178" t="s">
        <v>2393</v>
      </c>
      <c r="G278" s="356">
        <v>0</v>
      </c>
      <c r="H278" s="90"/>
    </row>
    <row r="279" spans="1:8" s="165" customFormat="1">
      <c r="A279" s="166" t="str">
        <f t="shared" si="12"/>
        <v>602</v>
      </c>
      <c r="B279" s="167">
        <f t="shared" si="13"/>
        <v>-1731359.07</v>
      </c>
      <c r="C279" s="161"/>
      <c r="D279" s="173" t="str">
        <f t="shared" si="14"/>
        <v>602</v>
      </c>
      <c r="E279" s="178" t="s">
        <v>2394</v>
      </c>
      <c r="F279" s="178" t="s">
        <v>2395</v>
      </c>
      <c r="G279" s="356">
        <v>-1731359.07</v>
      </c>
      <c r="H279" s="90"/>
    </row>
    <row r="280" spans="1:8" s="165" customFormat="1">
      <c r="A280" s="166" t="str">
        <f t="shared" si="12"/>
        <v>602</v>
      </c>
      <c r="B280" s="167">
        <f t="shared" si="13"/>
        <v>-29513</v>
      </c>
      <c r="C280" s="161"/>
      <c r="D280" s="173" t="str">
        <f t="shared" si="14"/>
        <v>602</v>
      </c>
      <c r="E280" s="178" t="s">
        <v>2396</v>
      </c>
      <c r="F280" s="178" t="s">
        <v>2397</v>
      </c>
      <c r="G280" s="356">
        <v>-29513</v>
      </c>
      <c r="H280" s="90"/>
    </row>
    <row r="281" spans="1:8" s="165" customFormat="1">
      <c r="A281" s="166" t="str">
        <f t="shared" si="12"/>
        <v>602</v>
      </c>
      <c r="B281" s="167">
        <f t="shared" si="13"/>
        <v>-39318.519999999997</v>
      </c>
      <c r="C281" s="161"/>
      <c r="D281" s="173" t="str">
        <f t="shared" si="14"/>
        <v>602</v>
      </c>
      <c r="E281" s="178" t="s">
        <v>2398</v>
      </c>
      <c r="F281" s="178" t="s">
        <v>2399</v>
      </c>
      <c r="G281" s="356">
        <v>-39318.519999999997</v>
      </c>
      <c r="H281" s="90"/>
    </row>
    <row r="282" spans="1:8" s="165" customFormat="1">
      <c r="A282" s="166" t="str">
        <f t="shared" si="12"/>
        <v>602</v>
      </c>
      <c r="B282" s="167">
        <f t="shared" si="13"/>
        <v>-37606.639999999999</v>
      </c>
      <c r="C282" s="161"/>
      <c r="D282" s="173" t="str">
        <f t="shared" si="14"/>
        <v>602</v>
      </c>
      <c r="E282" s="178" t="s">
        <v>2400</v>
      </c>
      <c r="F282" s="178" t="s">
        <v>2401</v>
      </c>
      <c r="G282" s="356">
        <v>-37606.639999999999</v>
      </c>
      <c r="H282" s="90"/>
    </row>
    <row r="283" spans="1:8" s="165" customFormat="1">
      <c r="A283" s="166" t="str">
        <f t="shared" si="12"/>
        <v>602</v>
      </c>
      <c r="B283" s="167">
        <f t="shared" si="13"/>
        <v>-272049.89</v>
      </c>
      <c r="C283" s="161"/>
      <c r="D283" s="173" t="str">
        <f t="shared" si="14"/>
        <v>602</v>
      </c>
      <c r="E283" s="178" t="s">
        <v>2402</v>
      </c>
      <c r="F283" s="178" t="s">
        <v>2403</v>
      </c>
      <c r="G283" s="356">
        <v>-272049.89</v>
      </c>
      <c r="H283" s="90"/>
    </row>
    <row r="284" spans="1:8" s="165" customFormat="1">
      <c r="A284" s="166" t="str">
        <f t="shared" si="12"/>
        <v>602</v>
      </c>
      <c r="B284" s="167">
        <f t="shared" si="13"/>
        <v>-380170.78</v>
      </c>
      <c r="C284" s="161"/>
      <c r="D284" s="173" t="str">
        <f t="shared" si="14"/>
        <v>602</v>
      </c>
      <c r="E284" s="178" t="s">
        <v>2404</v>
      </c>
      <c r="F284" s="178" t="s">
        <v>2405</v>
      </c>
      <c r="G284" s="356">
        <v>-380170.78</v>
      </c>
      <c r="H284" s="90"/>
    </row>
    <row r="285" spans="1:8" s="165" customFormat="1">
      <c r="A285" s="166" t="str">
        <f t="shared" si="12"/>
        <v>602</v>
      </c>
      <c r="B285" s="167">
        <f t="shared" si="13"/>
        <v>-49724</v>
      </c>
      <c r="C285" s="161"/>
      <c r="D285" s="173" t="str">
        <f t="shared" si="14"/>
        <v>602</v>
      </c>
      <c r="E285" s="178" t="s">
        <v>2406</v>
      </c>
      <c r="F285" s="178" t="s">
        <v>2407</v>
      </c>
      <c r="G285" s="356">
        <v>-49724</v>
      </c>
      <c r="H285" s="90"/>
    </row>
    <row r="286" spans="1:8" s="165" customFormat="1">
      <c r="A286" s="166" t="str">
        <f t="shared" si="12"/>
        <v>602</v>
      </c>
      <c r="B286" s="167">
        <f t="shared" si="13"/>
        <v>-5282.92</v>
      </c>
      <c r="C286" s="161"/>
      <c r="D286" s="173" t="str">
        <f t="shared" si="14"/>
        <v>602</v>
      </c>
      <c r="E286" s="178" t="s">
        <v>2408</v>
      </c>
      <c r="F286" s="178" t="s">
        <v>2409</v>
      </c>
      <c r="G286" s="356">
        <v>-5282.92</v>
      </c>
      <c r="H286" s="90"/>
    </row>
    <row r="287" spans="1:8" s="165" customFormat="1">
      <c r="A287" s="166" t="str">
        <f t="shared" si="12"/>
        <v>602</v>
      </c>
      <c r="B287" s="167">
        <f t="shared" si="13"/>
        <v>-67771.42</v>
      </c>
      <c r="C287" s="161"/>
      <c r="D287" s="173" t="str">
        <f t="shared" si="14"/>
        <v>602</v>
      </c>
      <c r="E287" s="178" t="s">
        <v>2410</v>
      </c>
      <c r="F287" s="178" t="s">
        <v>2411</v>
      </c>
      <c r="G287" s="356">
        <v>-67771.42</v>
      </c>
      <c r="H287" s="90"/>
    </row>
    <row r="288" spans="1:8" s="165" customFormat="1">
      <c r="A288" s="166" t="str">
        <f t="shared" si="12"/>
        <v>602</v>
      </c>
      <c r="B288" s="167">
        <f t="shared" si="13"/>
        <v>-112086.12</v>
      </c>
      <c r="C288" s="161"/>
      <c r="D288" s="173" t="str">
        <f t="shared" si="14"/>
        <v>602</v>
      </c>
      <c r="E288" s="178" t="s">
        <v>2412</v>
      </c>
      <c r="F288" s="178" t="s">
        <v>2413</v>
      </c>
      <c r="G288" s="356">
        <v>-112086.12</v>
      </c>
      <c r="H288" s="90"/>
    </row>
    <row r="289" spans="1:8" s="165" customFormat="1">
      <c r="A289" s="166" t="str">
        <f t="shared" si="12"/>
        <v>602</v>
      </c>
      <c r="B289" s="167">
        <f t="shared" si="13"/>
        <v>0</v>
      </c>
      <c r="C289" s="161"/>
      <c r="D289" s="173" t="str">
        <f t="shared" si="14"/>
        <v>602</v>
      </c>
      <c r="E289" s="178" t="s">
        <v>2414</v>
      </c>
      <c r="F289" s="178" t="s">
        <v>2415</v>
      </c>
      <c r="G289" s="356">
        <v>0</v>
      </c>
      <c r="H289" s="90"/>
    </row>
    <row r="290" spans="1:8" s="165" customFormat="1">
      <c r="A290" s="166" t="str">
        <f t="shared" si="12"/>
        <v>602</v>
      </c>
      <c r="B290" s="167">
        <f t="shared" si="13"/>
        <v>-430328.44</v>
      </c>
      <c r="C290" s="161"/>
      <c r="D290" s="173" t="str">
        <f t="shared" si="14"/>
        <v>602</v>
      </c>
      <c r="E290" s="178" t="s">
        <v>2416</v>
      </c>
      <c r="F290" s="178" t="s">
        <v>2417</v>
      </c>
      <c r="G290" s="356">
        <v>-430328.44</v>
      </c>
      <c r="H290" s="90"/>
    </row>
    <row r="291" spans="1:8" s="165" customFormat="1">
      <c r="A291" s="166" t="str">
        <f t="shared" si="12"/>
        <v>602</v>
      </c>
      <c r="B291" s="167">
        <f t="shared" si="13"/>
        <v>-1351.5</v>
      </c>
      <c r="C291" s="161"/>
      <c r="D291" s="173" t="str">
        <f t="shared" si="14"/>
        <v>602</v>
      </c>
      <c r="E291" s="178" t="s">
        <v>2418</v>
      </c>
      <c r="F291" s="178" t="s">
        <v>2419</v>
      </c>
      <c r="G291" s="356">
        <v>-1351.5</v>
      </c>
      <c r="H291" s="90"/>
    </row>
    <row r="292" spans="1:8" s="165" customFormat="1">
      <c r="A292" s="166" t="str">
        <f t="shared" si="12"/>
        <v>602</v>
      </c>
      <c r="B292" s="167">
        <f t="shared" si="13"/>
        <v>0</v>
      </c>
      <c r="C292" s="161"/>
      <c r="D292" s="173" t="str">
        <f t="shared" si="14"/>
        <v>602</v>
      </c>
      <c r="E292" s="178" t="s">
        <v>2420</v>
      </c>
      <c r="F292" s="178" t="s">
        <v>2421</v>
      </c>
      <c r="G292" s="356">
        <v>0</v>
      </c>
      <c r="H292" s="90"/>
    </row>
    <row r="293" spans="1:8" s="165" customFormat="1">
      <c r="A293" s="166" t="str">
        <f t="shared" si="12"/>
        <v>602</v>
      </c>
      <c r="B293" s="167">
        <f t="shared" si="13"/>
        <v>-899107.15</v>
      </c>
      <c r="C293" s="161"/>
      <c r="D293" s="173" t="str">
        <f t="shared" si="14"/>
        <v>602</v>
      </c>
      <c r="E293" s="178" t="s">
        <v>2422</v>
      </c>
      <c r="F293" s="178" t="s">
        <v>2423</v>
      </c>
      <c r="G293" s="356">
        <v>-899107.15</v>
      </c>
      <c r="H293" s="90"/>
    </row>
    <row r="294" spans="1:8" s="165" customFormat="1">
      <c r="A294" s="166" t="str">
        <f t="shared" si="12"/>
        <v>602</v>
      </c>
      <c r="B294" s="167">
        <f t="shared" si="13"/>
        <v>-89998</v>
      </c>
      <c r="C294" s="161"/>
      <c r="D294" s="173" t="str">
        <f t="shared" si="14"/>
        <v>602</v>
      </c>
      <c r="E294" s="178" t="s">
        <v>2424</v>
      </c>
      <c r="F294" s="178" t="s">
        <v>2425</v>
      </c>
      <c r="G294" s="356">
        <v>-89998</v>
      </c>
      <c r="H294" s="90"/>
    </row>
    <row r="295" spans="1:8" s="165" customFormat="1">
      <c r="A295" s="166" t="str">
        <f t="shared" si="12"/>
        <v>602</v>
      </c>
      <c r="B295" s="167">
        <f t="shared" si="13"/>
        <v>-17556</v>
      </c>
      <c r="C295" s="161"/>
      <c r="D295" s="173" t="str">
        <f t="shared" si="14"/>
        <v>602</v>
      </c>
      <c r="E295" s="178" t="s">
        <v>2426</v>
      </c>
      <c r="F295" s="178" t="s">
        <v>2427</v>
      </c>
      <c r="G295" s="356">
        <v>-17556</v>
      </c>
      <c r="H295" s="90"/>
    </row>
    <row r="296" spans="1:8" s="165" customFormat="1">
      <c r="A296" s="166" t="str">
        <f t="shared" si="12"/>
        <v>602</v>
      </c>
      <c r="B296" s="167">
        <f t="shared" si="13"/>
        <v>-17571.48</v>
      </c>
      <c r="C296" s="161"/>
      <c r="D296" s="173" t="str">
        <f t="shared" si="14"/>
        <v>602</v>
      </c>
      <c r="E296" s="178" t="s">
        <v>2428</v>
      </c>
      <c r="F296" s="178" t="s">
        <v>2429</v>
      </c>
      <c r="G296" s="356">
        <v>-17571.48</v>
      </c>
      <c r="H296" s="90"/>
    </row>
    <row r="297" spans="1:8" s="165" customFormat="1">
      <c r="A297" s="166" t="str">
        <f t="shared" si="12"/>
        <v>602</v>
      </c>
      <c r="B297" s="167">
        <f t="shared" si="13"/>
        <v>-149621.35999999999</v>
      </c>
      <c r="C297" s="161"/>
      <c r="D297" s="173" t="str">
        <f t="shared" si="14"/>
        <v>602</v>
      </c>
      <c r="E297" s="178" t="s">
        <v>2430</v>
      </c>
      <c r="F297" s="178" t="s">
        <v>2431</v>
      </c>
      <c r="G297" s="356">
        <v>-149621.35999999999</v>
      </c>
      <c r="H297" s="90"/>
    </row>
    <row r="298" spans="1:8" s="165" customFormat="1">
      <c r="A298" s="166" t="str">
        <f t="shared" si="12"/>
        <v>602</v>
      </c>
      <c r="B298" s="167">
        <f t="shared" si="13"/>
        <v>-185608.25</v>
      </c>
      <c r="C298" s="161"/>
      <c r="D298" s="173" t="str">
        <f t="shared" si="14"/>
        <v>602</v>
      </c>
      <c r="E298" s="178" t="s">
        <v>2432</v>
      </c>
      <c r="F298" s="178" t="s">
        <v>2433</v>
      </c>
      <c r="G298" s="356">
        <v>-185608.25</v>
      </c>
      <c r="H298" s="90"/>
    </row>
    <row r="299" spans="1:8" s="165" customFormat="1">
      <c r="A299" s="166" t="str">
        <f t="shared" si="12"/>
        <v>602</v>
      </c>
      <c r="B299" s="167">
        <f t="shared" si="13"/>
        <v>0</v>
      </c>
      <c r="C299" s="161"/>
      <c r="D299" s="173" t="str">
        <f t="shared" si="14"/>
        <v>602</v>
      </c>
      <c r="E299" s="178" t="s">
        <v>2434</v>
      </c>
      <c r="F299" s="178" t="s">
        <v>2435</v>
      </c>
      <c r="G299" s="356">
        <v>0</v>
      </c>
      <c r="H299" s="90"/>
    </row>
    <row r="300" spans="1:8" s="165" customFormat="1">
      <c r="A300" s="166" t="str">
        <f t="shared" si="12"/>
        <v>602</v>
      </c>
      <c r="B300" s="167">
        <f t="shared" si="13"/>
        <v>-3188.18</v>
      </c>
      <c r="C300" s="161"/>
      <c r="D300" s="173" t="str">
        <f t="shared" si="14"/>
        <v>602</v>
      </c>
      <c r="E300" s="178" t="s">
        <v>2436</v>
      </c>
      <c r="F300" s="178" t="s">
        <v>2437</v>
      </c>
      <c r="G300" s="356">
        <v>-3188.18</v>
      </c>
      <c r="H300" s="90"/>
    </row>
    <row r="301" spans="1:8" s="165" customFormat="1">
      <c r="A301" s="166" t="str">
        <f t="shared" si="12"/>
        <v>602</v>
      </c>
      <c r="B301" s="167">
        <f t="shared" si="13"/>
        <v>-88909.99</v>
      </c>
      <c r="C301" s="161"/>
      <c r="D301" s="173" t="str">
        <f t="shared" si="14"/>
        <v>602</v>
      </c>
      <c r="E301" s="178" t="s">
        <v>2438</v>
      </c>
      <c r="F301" s="178" t="s">
        <v>2439</v>
      </c>
      <c r="G301" s="356">
        <v>-88909.99</v>
      </c>
      <c r="H301" s="90"/>
    </row>
    <row r="302" spans="1:8" s="165" customFormat="1">
      <c r="A302" s="166" t="str">
        <f t="shared" si="12"/>
        <v>602</v>
      </c>
      <c r="B302" s="167">
        <f t="shared" si="13"/>
        <v>-48533.3</v>
      </c>
      <c r="C302" s="161"/>
      <c r="D302" s="173" t="str">
        <f t="shared" si="14"/>
        <v>602</v>
      </c>
      <c r="E302" s="178" t="s">
        <v>2440</v>
      </c>
      <c r="F302" s="178" t="s">
        <v>2441</v>
      </c>
      <c r="G302" s="356">
        <v>-48533.3</v>
      </c>
      <c r="H302" s="90"/>
    </row>
    <row r="303" spans="1:8" s="165" customFormat="1">
      <c r="A303" s="166" t="str">
        <f t="shared" si="12"/>
        <v>602</v>
      </c>
      <c r="B303" s="167">
        <f t="shared" si="13"/>
        <v>-105751.38</v>
      </c>
      <c r="C303" s="161"/>
      <c r="D303" s="173" t="str">
        <f t="shared" si="14"/>
        <v>602</v>
      </c>
      <c r="E303" s="178" t="s">
        <v>2442</v>
      </c>
      <c r="F303" s="178" t="s">
        <v>2443</v>
      </c>
      <c r="G303" s="356">
        <v>-105751.38</v>
      </c>
      <c r="H303" s="90"/>
    </row>
    <row r="304" spans="1:8" s="165" customFormat="1">
      <c r="A304" s="166" t="str">
        <f t="shared" si="12"/>
        <v>602</v>
      </c>
      <c r="B304" s="167">
        <f t="shared" si="13"/>
        <v>-10.96</v>
      </c>
      <c r="C304" s="161"/>
      <c r="D304" s="173" t="str">
        <f t="shared" si="14"/>
        <v>602</v>
      </c>
      <c r="E304" s="178" t="s">
        <v>2444</v>
      </c>
      <c r="F304" s="178" t="s">
        <v>2445</v>
      </c>
      <c r="G304" s="356">
        <v>-10.96</v>
      </c>
      <c r="H304" s="90"/>
    </row>
    <row r="305" spans="1:8" s="165" customFormat="1">
      <c r="A305" s="166" t="str">
        <f t="shared" si="12"/>
        <v>602</v>
      </c>
      <c r="B305" s="167">
        <f t="shared" si="13"/>
        <v>-1510.18</v>
      </c>
      <c r="C305" s="161"/>
      <c r="D305" s="173" t="str">
        <f t="shared" si="14"/>
        <v>602</v>
      </c>
      <c r="E305" s="178" t="s">
        <v>2446</v>
      </c>
      <c r="F305" s="178" t="s">
        <v>2447</v>
      </c>
      <c r="G305" s="356">
        <v>-1510.18</v>
      </c>
      <c r="H305" s="90"/>
    </row>
    <row r="306" spans="1:8" s="165" customFormat="1">
      <c r="A306" s="166" t="str">
        <f t="shared" si="12"/>
        <v>602</v>
      </c>
      <c r="B306" s="167">
        <f t="shared" si="13"/>
        <v>-1611.63</v>
      </c>
      <c r="C306" s="161"/>
      <c r="D306" s="173" t="str">
        <f t="shared" si="14"/>
        <v>602</v>
      </c>
      <c r="E306" s="178" t="s">
        <v>2448</v>
      </c>
      <c r="F306" s="178" t="s">
        <v>2449</v>
      </c>
      <c r="G306" s="356">
        <v>-1611.63</v>
      </c>
      <c r="H306" s="90"/>
    </row>
    <row r="307" spans="1:8" s="165" customFormat="1">
      <c r="A307" s="166" t="str">
        <f t="shared" si="12"/>
        <v>602</v>
      </c>
      <c r="B307" s="167">
        <f t="shared" si="13"/>
        <v>-273399.71999999997</v>
      </c>
      <c r="C307" s="161"/>
      <c r="D307" s="173" t="str">
        <f t="shared" si="14"/>
        <v>602</v>
      </c>
      <c r="E307" s="178" t="s">
        <v>2450</v>
      </c>
      <c r="F307" s="178" t="s">
        <v>2451</v>
      </c>
      <c r="G307" s="356">
        <v>-273399.71999999997</v>
      </c>
      <c r="H307" s="90"/>
    </row>
    <row r="308" spans="1:8" s="165" customFormat="1">
      <c r="A308" s="166" t="str">
        <f t="shared" si="12"/>
        <v>602</v>
      </c>
      <c r="B308" s="167">
        <f t="shared" si="13"/>
        <v>-29262</v>
      </c>
      <c r="C308" s="161"/>
      <c r="D308" s="173" t="str">
        <f t="shared" si="14"/>
        <v>602</v>
      </c>
      <c r="E308" s="178" t="s">
        <v>2452</v>
      </c>
      <c r="F308" s="178" t="s">
        <v>2453</v>
      </c>
      <c r="G308" s="356">
        <v>-29262</v>
      </c>
      <c r="H308" s="90"/>
    </row>
    <row r="309" spans="1:8" s="165" customFormat="1">
      <c r="A309" s="166" t="str">
        <f t="shared" si="12"/>
        <v>602</v>
      </c>
      <c r="B309" s="167">
        <f t="shared" si="13"/>
        <v>-5305.2</v>
      </c>
      <c r="C309" s="161"/>
      <c r="D309" s="173" t="str">
        <f t="shared" si="14"/>
        <v>602</v>
      </c>
      <c r="E309" s="178" t="s">
        <v>2454</v>
      </c>
      <c r="F309" s="178" t="s">
        <v>2455</v>
      </c>
      <c r="G309" s="356">
        <v>-5305.2</v>
      </c>
      <c r="H309" s="90"/>
    </row>
    <row r="310" spans="1:8" s="165" customFormat="1">
      <c r="A310" s="166" t="str">
        <f t="shared" si="12"/>
        <v>602</v>
      </c>
      <c r="B310" s="167">
        <f t="shared" si="13"/>
        <v>-2549.7399999999998</v>
      </c>
      <c r="C310" s="161"/>
      <c r="D310" s="173" t="str">
        <f t="shared" si="14"/>
        <v>602</v>
      </c>
      <c r="E310" s="178" t="s">
        <v>2456</v>
      </c>
      <c r="F310" s="178" t="s">
        <v>2457</v>
      </c>
      <c r="G310" s="356">
        <v>-2549.7399999999998</v>
      </c>
      <c r="H310" s="90"/>
    </row>
    <row r="311" spans="1:8" s="165" customFormat="1">
      <c r="A311" s="166" t="str">
        <f t="shared" si="12"/>
        <v>602</v>
      </c>
      <c r="B311" s="167">
        <f t="shared" si="13"/>
        <v>-45961.45</v>
      </c>
      <c r="C311" s="161"/>
      <c r="D311" s="173" t="str">
        <f t="shared" si="14"/>
        <v>602</v>
      </c>
      <c r="E311" s="178" t="s">
        <v>2458</v>
      </c>
      <c r="F311" s="178" t="s">
        <v>2459</v>
      </c>
      <c r="G311" s="356">
        <v>-45961.45</v>
      </c>
      <c r="H311" s="90"/>
    </row>
    <row r="312" spans="1:8" s="165" customFormat="1">
      <c r="A312" s="166" t="str">
        <f t="shared" si="12"/>
        <v>602</v>
      </c>
      <c r="B312" s="167">
        <f t="shared" si="13"/>
        <v>-55453.93</v>
      </c>
      <c r="C312" s="161"/>
      <c r="D312" s="173" t="str">
        <f t="shared" si="14"/>
        <v>602</v>
      </c>
      <c r="E312" s="178" t="s">
        <v>2460</v>
      </c>
      <c r="F312" s="178" t="s">
        <v>2461</v>
      </c>
      <c r="G312" s="356">
        <v>-55453.93</v>
      </c>
      <c r="H312" s="90"/>
    </row>
    <row r="313" spans="1:8">
      <c r="A313" s="166" t="str">
        <f t="shared" si="12"/>
        <v>602</v>
      </c>
      <c r="B313" s="167">
        <f t="shared" si="13"/>
        <v>-200</v>
      </c>
      <c r="D313" s="173" t="str">
        <f t="shared" si="14"/>
        <v>602</v>
      </c>
      <c r="E313" s="1" t="s">
        <v>2462</v>
      </c>
      <c r="F313" s="175" t="s">
        <v>2463</v>
      </c>
      <c r="G313" s="356">
        <v>-200</v>
      </c>
    </row>
    <row r="314" spans="1:8">
      <c r="A314" s="166" t="str">
        <f t="shared" ref="A314:A315" si="15">D314</f>
        <v>602</v>
      </c>
      <c r="B314" s="167">
        <f t="shared" ref="B314:B315" si="16">G314</f>
        <v>-1121.5999999999999</v>
      </c>
      <c r="D314" s="173" t="str">
        <f t="shared" si="14"/>
        <v>602</v>
      </c>
      <c r="E314" s="1" t="s">
        <v>2464</v>
      </c>
      <c r="F314" s="175" t="s">
        <v>2465</v>
      </c>
      <c r="G314" s="356">
        <v>-1121.5999999999999</v>
      </c>
    </row>
    <row r="315" spans="1:8">
      <c r="A315" s="166" t="str">
        <f t="shared" si="15"/>
        <v>602</v>
      </c>
      <c r="B315" s="167">
        <f t="shared" si="16"/>
        <v>-4229.18</v>
      </c>
      <c r="D315" s="173" t="str">
        <f t="shared" si="14"/>
        <v>602</v>
      </c>
      <c r="E315" s="1" t="s">
        <v>2466</v>
      </c>
      <c r="F315" s="175" t="s">
        <v>2467</v>
      </c>
      <c r="G315" s="356">
        <v>-4229.18</v>
      </c>
    </row>
    <row r="316" spans="1:8">
      <c r="A316" s="166" t="str">
        <f t="shared" ref="A316:A375" si="17">D316</f>
        <v>602</v>
      </c>
      <c r="B316" s="167">
        <f t="shared" ref="B316:B375" si="18">G316</f>
        <v>-3535.7</v>
      </c>
      <c r="D316" s="173" t="str">
        <f t="shared" si="14"/>
        <v>602</v>
      </c>
      <c r="E316" s="1" t="s">
        <v>2468</v>
      </c>
      <c r="F316" s="175" t="s">
        <v>2469</v>
      </c>
      <c r="G316" s="356">
        <v>-3535.7</v>
      </c>
    </row>
    <row r="317" spans="1:8">
      <c r="A317" s="166" t="str">
        <f t="shared" si="17"/>
        <v>602</v>
      </c>
      <c r="B317" s="167">
        <f t="shared" si="18"/>
        <v>-1405.5</v>
      </c>
      <c r="D317" s="173" t="str">
        <f t="shared" si="14"/>
        <v>602</v>
      </c>
      <c r="E317" s="1" t="s">
        <v>2470</v>
      </c>
      <c r="F317" s="175" t="s">
        <v>2471</v>
      </c>
      <c r="G317" s="356">
        <v>-1405.5</v>
      </c>
    </row>
    <row r="318" spans="1:8">
      <c r="A318" s="166" t="str">
        <f t="shared" si="17"/>
        <v>602</v>
      </c>
      <c r="B318" s="167">
        <f t="shared" si="18"/>
        <v>-29862.66</v>
      </c>
      <c r="D318" s="173" t="str">
        <f t="shared" si="14"/>
        <v>602</v>
      </c>
      <c r="E318" s="1" t="s">
        <v>2472</v>
      </c>
      <c r="F318" s="175" t="s">
        <v>2473</v>
      </c>
      <c r="G318" s="356">
        <v>-29862.66</v>
      </c>
    </row>
    <row r="319" spans="1:8">
      <c r="A319" s="166" t="str">
        <f t="shared" si="17"/>
        <v>602</v>
      </c>
      <c r="B319" s="167">
        <f t="shared" si="18"/>
        <v>-462.53</v>
      </c>
      <c r="D319" s="173" t="str">
        <f t="shared" si="14"/>
        <v>602</v>
      </c>
      <c r="E319" s="1" t="s">
        <v>2474</v>
      </c>
      <c r="F319" s="175" t="s">
        <v>2475</v>
      </c>
      <c r="G319" s="357">
        <v>-462.53</v>
      </c>
    </row>
    <row r="320" spans="1:8">
      <c r="A320" s="166" t="str">
        <f t="shared" si="17"/>
        <v>602</v>
      </c>
      <c r="B320" s="167">
        <f t="shared" si="18"/>
        <v>2530.1999999999998</v>
      </c>
      <c r="D320" s="173" t="str">
        <f t="shared" si="14"/>
        <v>602</v>
      </c>
      <c r="E320" s="1" t="s">
        <v>2476</v>
      </c>
      <c r="F320" s="175" t="s">
        <v>2477</v>
      </c>
      <c r="G320" s="356">
        <v>2530.1999999999998</v>
      </c>
    </row>
    <row r="321" spans="1:7">
      <c r="A321" s="166" t="str">
        <f t="shared" si="17"/>
        <v>602</v>
      </c>
      <c r="B321" s="167">
        <f t="shared" si="18"/>
        <v>-3925.12</v>
      </c>
      <c r="D321" s="173" t="str">
        <f t="shared" si="14"/>
        <v>602</v>
      </c>
      <c r="E321" s="1" t="s">
        <v>2478</v>
      </c>
      <c r="F321" s="175" t="s">
        <v>2479</v>
      </c>
      <c r="G321" s="356">
        <v>-3925.12</v>
      </c>
    </row>
    <row r="322" spans="1:7">
      <c r="A322" s="166" t="str">
        <f t="shared" si="17"/>
        <v>602</v>
      </c>
      <c r="B322" s="167">
        <f t="shared" si="18"/>
        <v>-1902.68</v>
      </c>
      <c r="D322" s="173" t="str">
        <f t="shared" si="14"/>
        <v>602</v>
      </c>
      <c r="E322" s="1" t="s">
        <v>2480</v>
      </c>
      <c r="F322" s="175" t="s">
        <v>2481</v>
      </c>
      <c r="G322" s="356">
        <v>-1902.68</v>
      </c>
    </row>
    <row r="323" spans="1:7">
      <c r="A323" s="166" t="str">
        <f t="shared" si="17"/>
        <v>602</v>
      </c>
      <c r="B323" s="167">
        <f t="shared" si="18"/>
        <v>-348.21</v>
      </c>
      <c r="D323" s="173" t="str">
        <f t="shared" ref="D323:D376" si="19">LEFT(E323,3)</f>
        <v>602</v>
      </c>
      <c r="E323" s="1" t="s">
        <v>2482</v>
      </c>
      <c r="F323" s="175" t="s">
        <v>2483</v>
      </c>
      <c r="G323" s="356">
        <v>-348.21</v>
      </c>
    </row>
    <row r="324" spans="1:7">
      <c r="A324" s="166" t="str">
        <f t="shared" si="17"/>
        <v>602</v>
      </c>
      <c r="B324" s="167">
        <f t="shared" si="18"/>
        <v>-229553.76</v>
      </c>
      <c r="D324" s="173" t="str">
        <f t="shared" si="19"/>
        <v>602</v>
      </c>
      <c r="E324" s="1" t="s">
        <v>2484</v>
      </c>
      <c r="F324" s="175" t="s">
        <v>2485</v>
      </c>
      <c r="G324" s="356">
        <v>-229553.76</v>
      </c>
    </row>
    <row r="325" spans="1:7">
      <c r="A325" s="166" t="str">
        <f t="shared" si="17"/>
        <v>602</v>
      </c>
      <c r="B325" s="167">
        <f t="shared" si="18"/>
        <v>-22480.18</v>
      </c>
      <c r="D325" s="173" t="str">
        <f t="shared" si="19"/>
        <v>602</v>
      </c>
      <c r="E325" s="1" t="s">
        <v>2486</v>
      </c>
      <c r="F325" s="175" t="s">
        <v>2487</v>
      </c>
      <c r="G325" s="356">
        <v>-22480.18</v>
      </c>
    </row>
    <row r="326" spans="1:7">
      <c r="A326" s="166" t="str">
        <f t="shared" si="17"/>
        <v>602</v>
      </c>
      <c r="B326" s="167">
        <f t="shared" si="18"/>
        <v>-663</v>
      </c>
      <c r="D326" s="173" t="str">
        <f t="shared" si="19"/>
        <v>602</v>
      </c>
      <c r="E326" s="1" t="s">
        <v>2488</v>
      </c>
      <c r="F326" s="175" t="s">
        <v>2489</v>
      </c>
      <c r="G326" s="357">
        <v>-663</v>
      </c>
    </row>
    <row r="327" spans="1:7">
      <c r="A327" s="166" t="str">
        <f t="shared" si="17"/>
        <v>602</v>
      </c>
      <c r="B327" s="167">
        <f t="shared" si="18"/>
        <v>-636.74</v>
      </c>
      <c r="D327" s="173" t="str">
        <f t="shared" si="19"/>
        <v>602</v>
      </c>
      <c r="E327" s="1" t="s">
        <v>2490</v>
      </c>
      <c r="F327" s="175" t="s">
        <v>2491</v>
      </c>
      <c r="G327" s="356">
        <v>-636.74</v>
      </c>
    </row>
    <row r="328" spans="1:7">
      <c r="A328" s="166" t="str">
        <f t="shared" si="17"/>
        <v>602</v>
      </c>
      <c r="B328" s="167">
        <f t="shared" si="18"/>
        <v>-9912.5499999999993</v>
      </c>
      <c r="D328" s="173" t="str">
        <f t="shared" si="19"/>
        <v>602</v>
      </c>
      <c r="E328" s="1" t="s">
        <v>2492</v>
      </c>
      <c r="F328" s="175" t="s">
        <v>2493</v>
      </c>
      <c r="G328" s="356">
        <v>-9912.5499999999993</v>
      </c>
    </row>
    <row r="329" spans="1:7">
      <c r="A329" s="166" t="str">
        <f t="shared" si="17"/>
        <v>602</v>
      </c>
      <c r="B329" s="167">
        <f t="shared" si="18"/>
        <v>-12918.71</v>
      </c>
      <c r="D329" s="173" t="str">
        <f t="shared" si="19"/>
        <v>602</v>
      </c>
      <c r="E329" s="1" t="s">
        <v>2494</v>
      </c>
      <c r="F329" s="175" t="s">
        <v>2495</v>
      </c>
      <c r="G329" s="357">
        <v>-12918.71</v>
      </c>
    </row>
    <row r="330" spans="1:7">
      <c r="A330" s="166" t="str">
        <f t="shared" si="17"/>
        <v>602</v>
      </c>
      <c r="B330" s="167">
        <f t="shared" si="18"/>
        <v>-47159.49</v>
      </c>
      <c r="D330" s="173" t="str">
        <f t="shared" si="19"/>
        <v>602</v>
      </c>
      <c r="E330" s="1" t="s">
        <v>2496</v>
      </c>
      <c r="F330" s="175" t="s">
        <v>2497</v>
      </c>
      <c r="G330" s="356">
        <v>-47159.49</v>
      </c>
    </row>
    <row r="331" spans="1:7">
      <c r="A331" s="166" t="str">
        <f t="shared" si="17"/>
        <v>602</v>
      </c>
      <c r="B331" s="167">
        <f t="shared" si="18"/>
        <v>-398.72</v>
      </c>
      <c r="D331" s="173" t="str">
        <f t="shared" si="19"/>
        <v>602</v>
      </c>
      <c r="E331" s="1" t="s">
        <v>2498</v>
      </c>
      <c r="F331" s="175" t="s">
        <v>2499</v>
      </c>
      <c r="G331" s="357">
        <v>-398.72</v>
      </c>
    </row>
    <row r="332" spans="1:7">
      <c r="A332" s="166" t="str">
        <f t="shared" si="17"/>
        <v>602</v>
      </c>
      <c r="B332" s="167">
        <f t="shared" si="18"/>
        <v>-7152.54</v>
      </c>
      <c r="D332" s="173" t="str">
        <f t="shared" si="19"/>
        <v>602</v>
      </c>
      <c r="E332" s="1" t="s">
        <v>2500</v>
      </c>
      <c r="F332" s="175" t="s">
        <v>2501</v>
      </c>
      <c r="G332" s="357">
        <v>-7152.54</v>
      </c>
    </row>
    <row r="333" spans="1:7">
      <c r="A333" s="166" t="str">
        <f t="shared" si="17"/>
        <v>621</v>
      </c>
      <c r="B333" s="167">
        <f t="shared" si="18"/>
        <v>-162173.09</v>
      </c>
      <c r="D333" s="173" t="str">
        <f t="shared" si="19"/>
        <v>621</v>
      </c>
      <c r="E333" s="1" t="s">
        <v>2502</v>
      </c>
      <c r="F333" s="175" t="s">
        <v>2503</v>
      </c>
      <c r="G333" s="356">
        <v>-162173.09</v>
      </c>
    </row>
    <row r="334" spans="1:7">
      <c r="A334" s="166" t="str">
        <f t="shared" si="17"/>
        <v>644</v>
      </c>
      <c r="B334" s="167">
        <f t="shared" si="18"/>
        <v>-33.619999999999997</v>
      </c>
      <c r="D334" s="173" t="str">
        <f t="shared" si="19"/>
        <v>644</v>
      </c>
      <c r="E334" s="1" t="s">
        <v>2504</v>
      </c>
      <c r="F334" s="175" t="s">
        <v>2505</v>
      </c>
      <c r="G334" s="356">
        <v>-33.619999999999997</v>
      </c>
    </row>
    <row r="335" spans="1:7">
      <c r="A335" s="166" t="str">
        <f t="shared" si="17"/>
        <v>645</v>
      </c>
      <c r="B335" s="167">
        <f t="shared" si="18"/>
        <v>0</v>
      </c>
      <c r="D335" s="173" t="str">
        <f t="shared" si="19"/>
        <v>645</v>
      </c>
      <c r="E335" s="1" t="s">
        <v>2506</v>
      </c>
      <c r="F335" s="175" t="s">
        <v>2507</v>
      </c>
      <c r="G335" s="356">
        <v>0</v>
      </c>
    </row>
    <row r="336" spans="1:7">
      <c r="A336" s="166" t="str">
        <f t="shared" si="17"/>
        <v>646</v>
      </c>
      <c r="B336" s="167">
        <f t="shared" si="18"/>
        <v>-2479.27</v>
      </c>
      <c r="D336" s="173" t="str">
        <f t="shared" si="19"/>
        <v>646</v>
      </c>
      <c r="E336" s="1" t="s">
        <v>2508</v>
      </c>
      <c r="F336" s="175" t="s">
        <v>2509</v>
      </c>
      <c r="G336" s="357">
        <v>-2479.27</v>
      </c>
    </row>
    <row r="337" spans="1:7">
      <c r="A337" s="166" t="str">
        <f t="shared" si="17"/>
        <v>646</v>
      </c>
      <c r="B337" s="167">
        <f t="shared" si="18"/>
        <v>-3649.33</v>
      </c>
      <c r="D337" s="173" t="str">
        <f t="shared" si="19"/>
        <v>646</v>
      </c>
      <c r="E337" s="1" t="s">
        <v>2510</v>
      </c>
      <c r="F337" s="175" t="s">
        <v>2511</v>
      </c>
      <c r="G337" s="356">
        <v>-3649.33</v>
      </c>
    </row>
    <row r="338" spans="1:7">
      <c r="A338" s="166" t="str">
        <f t="shared" si="17"/>
        <v>649</v>
      </c>
      <c r="B338" s="167">
        <f t="shared" si="18"/>
        <v>-4867.2</v>
      </c>
      <c r="D338" s="173" t="str">
        <f t="shared" si="19"/>
        <v>649</v>
      </c>
      <c r="E338" s="1" t="s">
        <v>2512</v>
      </c>
      <c r="F338" s="175" t="s">
        <v>2513</v>
      </c>
      <c r="G338" s="356">
        <v>-4867.2</v>
      </c>
    </row>
    <row r="339" spans="1:7">
      <c r="A339" s="166" t="str">
        <f t="shared" si="17"/>
        <v>649</v>
      </c>
      <c r="B339" s="167">
        <f t="shared" si="18"/>
        <v>-41842.97</v>
      </c>
      <c r="D339" s="173" t="str">
        <f t="shared" si="19"/>
        <v>649</v>
      </c>
      <c r="E339" s="1" t="s">
        <v>2514</v>
      </c>
      <c r="F339" s="175" t="s">
        <v>2515</v>
      </c>
      <c r="G339" s="356">
        <v>-41842.97</v>
      </c>
    </row>
    <row r="340" spans="1:7">
      <c r="A340" s="166" t="str">
        <f t="shared" si="17"/>
        <v>649</v>
      </c>
      <c r="B340" s="167">
        <f t="shared" si="18"/>
        <v>-575.1</v>
      </c>
      <c r="D340" s="173" t="str">
        <f t="shared" si="19"/>
        <v>649</v>
      </c>
      <c r="E340" s="1" t="s">
        <v>2516</v>
      </c>
      <c r="F340" s="175" t="s">
        <v>2517</v>
      </c>
      <c r="G340" s="356">
        <v>-575.1</v>
      </c>
    </row>
    <row r="341" spans="1:7">
      <c r="A341" s="166" t="str">
        <f t="shared" si="17"/>
        <v>649</v>
      </c>
      <c r="B341" s="167">
        <f t="shared" si="18"/>
        <v>-3678.84</v>
      </c>
      <c r="D341" s="173" t="str">
        <f t="shared" si="19"/>
        <v>649</v>
      </c>
      <c r="E341" s="1" t="s">
        <v>2518</v>
      </c>
      <c r="F341" s="175" t="s">
        <v>2519</v>
      </c>
      <c r="G341" s="356">
        <v>-3678.84</v>
      </c>
    </row>
    <row r="342" spans="1:7">
      <c r="A342" s="166" t="str">
        <f t="shared" si="17"/>
        <v>649</v>
      </c>
      <c r="B342" s="167">
        <f t="shared" si="18"/>
        <v>-1208.55</v>
      </c>
      <c r="D342" s="173" t="str">
        <f t="shared" si="19"/>
        <v>649</v>
      </c>
      <c r="E342" s="1" t="s">
        <v>2520</v>
      </c>
      <c r="F342" s="175" t="s">
        <v>2521</v>
      </c>
      <c r="G342" s="356">
        <v>-1208.55</v>
      </c>
    </row>
    <row r="343" spans="1:7">
      <c r="A343" s="166" t="str">
        <f t="shared" si="17"/>
        <v>649</v>
      </c>
      <c r="B343" s="167">
        <f t="shared" si="18"/>
        <v>-71.28</v>
      </c>
      <c r="D343" s="173" t="str">
        <f t="shared" si="19"/>
        <v>649</v>
      </c>
      <c r="E343" s="1" t="s">
        <v>2522</v>
      </c>
      <c r="F343" s="175" t="s">
        <v>2523</v>
      </c>
      <c r="G343" s="356">
        <v>-71.28</v>
      </c>
    </row>
    <row r="344" spans="1:7">
      <c r="A344" s="166" t="str">
        <f t="shared" si="17"/>
        <v>651</v>
      </c>
      <c r="B344" s="167">
        <f t="shared" si="18"/>
        <v>-47078.74</v>
      </c>
      <c r="D344" s="173" t="str">
        <f t="shared" si="19"/>
        <v>651</v>
      </c>
      <c r="E344" s="1" t="s">
        <v>2524</v>
      </c>
      <c r="F344" s="175" t="s">
        <v>2525</v>
      </c>
      <c r="G344" s="356">
        <v>-47078.74</v>
      </c>
    </row>
    <row r="345" spans="1:7">
      <c r="A345" s="166" t="str">
        <f t="shared" si="17"/>
        <v>654</v>
      </c>
      <c r="B345" s="167">
        <f t="shared" si="18"/>
        <v>-220398.34</v>
      </c>
      <c r="D345" s="173" t="str">
        <f t="shared" si="19"/>
        <v>654</v>
      </c>
      <c r="E345" s="1" t="s">
        <v>2526</v>
      </c>
      <c r="F345" s="175" t="s">
        <v>2527</v>
      </c>
      <c r="G345" s="356">
        <v>-220398.34</v>
      </c>
    </row>
    <row r="346" spans="1:7">
      <c r="A346" s="166" t="str">
        <f t="shared" si="17"/>
        <v>654</v>
      </c>
      <c r="B346" s="167">
        <f t="shared" si="18"/>
        <v>-128095.7</v>
      </c>
      <c r="D346" s="173" t="str">
        <f t="shared" si="19"/>
        <v>654</v>
      </c>
      <c r="E346" s="1" t="s">
        <v>2528</v>
      </c>
      <c r="F346" s="175" t="s">
        <v>2529</v>
      </c>
      <c r="G346" s="357">
        <v>-128095.7</v>
      </c>
    </row>
    <row r="347" spans="1:7">
      <c r="A347" s="166" t="str">
        <f t="shared" si="17"/>
        <v>654</v>
      </c>
      <c r="B347" s="167">
        <f t="shared" si="18"/>
        <v>-150</v>
      </c>
      <c r="D347" s="173" t="str">
        <f t="shared" si="19"/>
        <v>654</v>
      </c>
      <c r="E347" s="1" t="s">
        <v>2530</v>
      </c>
      <c r="F347" s="175" t="s">
        <v>2531</v>
      </c>
      <c r="G347" s="356">
        <v>-150</v>
      </c>
    </row>
    <row r="348" spans="1:7">
      <c r="A348" s="166" t="str">
        <f t="shared" si="17"/>
        <v>656</v>
      </c>
      <c r="B348" s="167">
        <f t="shared" si="18"/>
        <v>-11141.26</v>
      </c>
      <c r="D348" s="173" t="str">
        <f t="shared" si="19"/>
        <v>656</v>
      </c>
      <c r="E348" s="1" t="s">
        <v>2532</v>
      </c>
      <c r="F348" s="175" t="s">
        <v>2533</v>
      </c>
      <c r="G348" s="356">
        <v>-11141.26</v>
      </c>
    </row>
    <row r="349" spans="1:7">
      <c r="A349" s="166" t="str">
        <f t="shared" si="17"/>
        <v>665</v>
      </c>
      <c r="B349" s="167">
        <f t="shared" si="18"/>
        <v>-1607.29</v>
      </c>
      <c r="D349" s="173" t="str">
        <f t="shared" si="19"/>
        <v>665</v>
      </c>
      <c r="E349" s="1" t="s">
        <v>2534</v>
      </c>
      <c r="F349" s="175" t="s">
        <v>2535</v>
      </c>
      <c r="G349" s="356">
        <v>-1607.29</v>
      </c>
    </row>
    <row r="350" spans="1:7">
      <c r="A350" s="166" t="str">
        <f t="shared" si="17"/>
        <v>691</v>
      </c>
      <c r="B350" s="167">
        <f t="shared" si="18"/>
        <v>0</v>
      </c>
      <c r="D350" s="173" t="str">
        <f t="shared" si="19"/>
        <v>691</v>
      </c>
      <c r="E350" s="1" t="s">
        <v>2536</v>
      </c>
      <c r="F350" s="175" t="s">
        <v>2537</v>
      </c>
      <c r="G350" s="356">
        <v>0</v>
      </c>
    </row>
    <row r="351" spans="1:7">
      <c r="A351" s="166" t="str">
        <f t="shared" si="17"/>
        <v>691</v>
      </c>
      <c r="B351" s="167">
        <f t="shared" si="18"/>
        <v>0</v>
      </c>
      <c r="D351" s="173" t="str">
        <f t="shared" si="19"/>
        <v>691</v>
      </c>
      <c r="E351" s="1" t="s">
        <v>2538</v>
      </c>
      <c r="F351" s="175" t="s">
        <v>2539</v>
      </c>
      <c r="G351" s="357">
        <v>0</v>
      </c>
    </row>
    <row r="352" spans="1:7">
      <c r="A352" s="166" t="str">
        <f t="shared" si="17"/>
        <v/>
      </c>
      <c r="B352" s="167">
        <f t="shared" si="18"/>
        <v>0</v>
      </c>
      <c r="D352" s="173" t="str">
        <f t="shared" si="19"/>
        <v/>
      </c>
      <c r="G352" s="356"/>
    </row>
    <row r="353" spans="1:7">
      <c r="A353" s="166" t="str">
        <f t="shared" si="17"/>
        <v/>
      </c>
      <c r="B353" s="167">
        <f t="shared" si="18"/>
        <v>0</v>
      </c>
      <c r="D353" s="173" t="str">
        <f t="shared" si="19"/>
        <v/>
      </c>
      <c r="G353" s="356"/>
    </row>
    <row r="354" spans="1:7">
      <c r="A354" s="166" t="str">
        <f t="shared" si="17"/>
        <v/>
      </c>
      <c r="B354" s="167">
        <f t="shared" si="18"/>
        <v>0</v>
      </c>
      <c r="D354" s="173" t="str">
        <f t="shared" si="19"/>
        <v/>
      </c>
      <c r="G354" s="356"/>
    </row>
    <row r="355" spans="1:7">
      <c r="A355" s="166" t="str">
        <f t="shared" si="17"/>
        <v/>
      </c>
      <c r="B355" s="167">
        <f t="shared" si="18"/>
        <v>0</v>
      </c>
      <c r="D355" s="173" t="str">
        <f t="shared" si="19"/>
        <v/>
      </c>
      <c r="G355" s="356"/>
    </row>
    <row r="356" spans="1:7">
      <c r="A356" s="166" t="str">
        <f t="shared" si="17"/>
        <v/>
      </c>
      <c r="B356" s="167">
        <f t="shared" si="18"/>
        <v>0</v>
      </c>
      <c r="D356" s="173" t="str">
        <f t="shared" si="19"/>
        <v/>
      </c>
      <c r="G356" s="356"/>
    </row>
    <row r="357" spans="1:7">
      <c r="A357" s="166" t="str">
        <f t="shared" si="17"/>
        <v/>
      </c>
      <c r="B357" s="167">
        <f t="shared" si="18"/>
        <v>0</v>
      </c>
      <c r="D357" s="173" t="str">
        <f t="shared" si="19"/>
        <v/>
      </c>
      <c r="G357" s="356"/>
    </row>
    <row r="358" spans="1:7">
      <c r="A358" s="166" t="str">
        <f t="shared" si="17"/>
        <v/>
      </c>
      <c r="B358" s="167">
        <f t="shared" si="18"/>
        <v>0</v>
      </c>
      <c r="D358" s="173" t="str">
        <f t="shared" si="19"/>
        <v/>
      </c>
      <c r="G358" s="356"/>
    </row>
    <row r="359" spans="1:7">
      <c r="A359" s="166" t="str">
        <f t="shared" si="17"/>
        <v/>
      </c>
      <c r="B359" s="167">
        <f t="shared" si="18"/>
        <v>0</v>
      </c>
      <c r="D359" s="173" t="str">
        <f t="shared" si="19"/>
        <v/>
      </c>
      <c r="G359" s="357"/>
    </row>
    <row r="360" spans="1:7">
      <c r="A360" s="166" t="str">
        <f t="shared" si="17"/>
        <v/>
      </c>
      <c r="B360" s="167">
        <f t="shared" si="18"/>
        <v>0</v>
      </c>
      <c r="D360" s="173" t="str">
        <f t="shared" si="19"/>
        <v/>
      </c>
      <c r="G360" s="356"/>
    </row>
    <row r="361" spans="1:7">
      <c r="A361" s="166" t="str">
        <f t="shared" si="17"/>
        <v/>
      </c>
      <c r="B361" s="167">
        <f t="shared" si="18"/>
        <v>0</v>
      </c>
      <c r="D361" s="173" t="str">
        <f t="shared" si="19"/>
        <v/>
      </c>
      <c r="G361" s="357"/>
    </row>
    <row r="362" spans="1:7">
      <c r="A362" s="166" t="str">
        <f t="shared" si="17"/>
        <v/>
      </c>
      <c r="B362" s="167">
        <f t="shared" si="18"/>
        <v>0</v>
      </c>
      <c r="D362" s="173" t="str">
        <f t="shared" si="19"/>
        <v/>
      </c>
      <c r="G362" s="356"/>
    </row>
    <row r="363" spans="1:7">
      <c r="A363" s="166" t="str">
        <f t="shared" si="17"/>
        <v/>
      </c>
      <c r="B363" s="167">
        <f t="shared" si="18"/>
        <v>0</v>
      </c>
      <c r="D363" s="173" t="str">
        <f t="shared" si="19"/>
        <v/>
      </c>
      <c r="G363" s="357"/>
    </row>
    <row r="364" spans="1:7">
      <c r="A364" s="166" t="str">
        <f t="shared" si="17"/>
        <v/>
      </c>
      <c r="B364" s="167">
        <f t="shared" si="18"/>
        <v>0</v>
      </c>
      <c r="D364" s="173" t="str">
        <f t="shared" si="19"/>
        <v/>
      </c>
      <c r="G364" s="356"/>
    </row>
    <row r="365" spans="1:7">
      <c r="A365" s="166" t="str">
        <f t="shared" si="17"/>
        <v/>
      </c>
      <c r="B365" s="167">
        <f t="shared" si="18"/>
        <v>0</v>
      </c>
      <c r="D365" s="173" t="str">
        <f t="shared" si="19"/>
        <v/>
      </c>
      <c r="G365" s="357"/>
    </row>
    <row r="366" spans="1:7">
      <c r="A366" s="166" t="str">
        <f t="shared" si="17"/>
        <v/>
      </c>
      <c r="B366" s="167">
        <f t="shared" si="18"/>
        <v>0</v>
      </c>
      <c r="D366" s="173" t="str">
        <f t="shared" si="19"/>
        <v/>
      </c>
      <c r="G366" s="357"/>
    </row>
    <row r="367" spans="1:7">
      <c r="A367" s="166" t="str">
        <f t="shared" si="17"/>
        <v/>
      </c>
      <c r="B367" s="167">
        <f t="shared" si="18"/>
        <v>0</v>
      </c>
      <c r="D367" s="173" t="str">
        <f t="shared" si="19"/>
        <v/>
      </c>
      <c r="G367" s="356"/>
    </row>
    <row r="368" spans="1:7">
      <c r="A368" s="166" t="str">
        <f t="shared" si="17"/>
        <v/>
      </c>
      <c r="B368" s="167">
        <f t="shared" si="18"/>
        <v>0</v>
      </c>
      <c r="D368" s="173" t="str">
        <f t="shared" si="19"/>
        <v/>
      </c>
      <c r="G368" s="357"/>
    </row>
    <row r="369" spans="1:7">
      <c r="A369" s="166" t="str">
        <f t="shared" si="17"/>
        <v/>
      </c>
      <c r="B369" s="167">
        <f t="shared" si="18"/>
        <v>0</v>
      </c>
      <c r="D369" s="173" t="str">
        <f t="shared" si="19"/>
        <v/>
      </c>
      <c r="G369" s="356"/>
    </row>
    <row r="370" spans="1:7">
      <c r="A370" s="166" t="str">
        <f t="shared" si="17"/>
        <v/>
      </c>
      <c r="B370" s="167">
        <f t="shared" si="18"/>
        <v>0</v>
      </c>
      <c r="D370" s="173" t="str">
        <f t="shared" si="19"/>
        <v/>
      </c>
      <c r="G370" s="357"/>
    </row>
    <row r="371" spans="1:7">
      <c r="A371" s="166" t="str">
        <f t="shared" si="17"/>
        <v/>
      </c>
      <c r="B371" s="167">
        <f t="shared" si="18"/>
        <v>0</v>
      </c>
      <c r="D371" s="173" t="str">
        <f t="shared" si="19"/>
        <v/>
      </c>
      <c r="G371" s="357"/>
    </row>
    <row r="372" spans="1:7">
      <c r="A372" s="166" t="str">
        <f t="shared" si="17"/>
        <v/>
      </c>
      <c r="B372" s="167">
        <f t="shared" si="18"/>
        <v>0</v>
      </c>
      <c r="D372" s="173" t="str">
        <f t="shared" si="19"/>
        <v/>
      </c>
      <c r="G372" s="356"/>
    </row>
    <row r="373" spans="1:7">
      <c r="A373" s="166" t="str">
        <f t="shared" si="17"/>
        <v/>
      </c>
      <c r="B373" s="167">
        <f t="shared" si="18"/>
        <v>0</v>
      </c>
      <c r="D373" s="173" t="str">
        <f t="shared" si="19"/>
        <v/>
      </c>
      <c r="G373" s="356"/>
    </row>
    <row r="374" spans="1:7">
      <c r="A374" s="166" t="str">
        <f t="shared" si="17"/>
        <v/>
      </c>
      <c r="B374" s="167">
        <f t="shared" si="18"/>
        <v>0</v>
      </c>
      <c r="D374" s="173" t="str">
        <f t="shared" si="19"/>
        <v/>
      </c>
      <c r="G374" s="357"/>
    </row>
    <row r="375" spans="1:7">
      <c r="A375" s="166" t="str">
        <f t="shared" si="17"/>
        <v/>
      </c>
      <c r="B375" s="167">
        <f t="shared" si="18"/>
        <v>0</v>
      </c>
      <c r="D375" s="173" t="str">
        <f t="shared" si="19"/>
        <v/>
      </c>
      <c r="G375" s="356"/>
    </row>
    <row r="376" spans="1:7">
      <c r="A376" s="166" t="str">
        <f t="shared" ref="A376" si="20">D376</f>
        <v/>
      </c>
      <c r="B376" s="167">
        <f t="shared" ref="B376" si="21">G376</f>
        <v>0</v>
      </c>
      <c r="D376" s="173" t="str">
        <f t="shared" si="19"/>
        <v/>
      </c>
      <c r="G376" s="356"/>
    </row>
  </sheetData>
  <autoFilter ref="A1:A61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24"/>
  <sheetViews>
    <sheetView workbookViewId="0">
      <pane ySplit="2" topLeftCell="A167" activePane="bottomLeft" state="frozen"/>
      <selection pane="bottomLeft" activeCell="L172" sqref="L172"/>
    </sheetView>
  </sheetViews>
  <sheetFormatPr defaultRowHeight="11.25"/>
  <cols>
    <col min="1" max="1" width="5.42578125" style="215" customWidth="1"/>
    <col min="2" max="2" width="9.5703125" style="215" bestFit="1" customWidth="1"/>
    <col min="3" max="3" width="9.140625" style="215"/>
    <col min="4" max="4" width="10" style="215" bestFit="1" customWidth="1"/>
    <col min="5" max="6" width="9.28515625" style="215" bestFit="1" customWidth="1"/>
    <col min="7" max="8" width="10" style="215" bestFit="1" customWidth="1"/>
    <col min="9" max="9" width="11.42578125" style="215" bestFit="1" customWidth="1"/>
    <col min="10" max="10" width="32.85546875" style="215" bestFit="1" customWidth="1"/>
    <col min="11" max="11" width="9.5703125" style="215" bestFit="1" customWidth="1"/>
    <col min="12" max="12" width="9.140625" style="215"/>
    <col min="13" max="15" width="10.42578125" style="215" customWidth="1"/>
    <col min="16" max="16" width="42.7109375" style="215" bestFit="1" customWidth="1"/>
    <col min="17" max="16384" width="9.140625" style="215"/>
  </cols>
  <sheetData>
    <row r="1" spans="1:16">
      <c r="I1" s="247">
        <v>42004</v>
      </c>
      <c r="L1" s="215">
        <f>SUBTOTAL(9,L198:L212)</f>
        <v>93803.415021726818</v>
      </c>
      <c r="O1" s="215">
        <f>SUBTOTAL(9,O206:O208)</f>
        <v>15836.48</v>
      </c>
    </row>
    <row r="2" spans="1:16" s="221" customFormat="1">
      <c r="A2" s="221" t="s">
        <v>1217</v>
      </c>
      <c r="B2" s="221" t="s">
        <v>1197</v>
      </c>
      <c r="C2" s="248" t="s">
        <v>1197</v>
      </c>
      <c r="D2" s="249" t="s">
        <v>1198</v>
      </c>
      <c r="E2" s="249" t="s">
        <v>1199</v>
      </c>
      <c r="F2" s="249" t="s">
        <v>1200</v>
      </c>
      <c r="G2" s="249" t="s">
        <v>1201</v>
      </c>
      <c r="H2" s="249" t="s">
        <v>1202</v>
      </c>
      <c r="I2" s="249" t="s">
        <v>1203</v>
      </c>
      <c r="J2" s="248" t="s">
        <v>1204</v>
      </c>
      <c r="L2" s="221" t="s">
        <v>1640</v>
      </c>
      <c r="M2" s="221" t="s">
        <v>1641</v>
      </c>
      <c r="N2" s="221" t="s">
        <v>1657</v>
      </c>
      <c r="O2" s="284" t="s">
        <v>1658</v>
      </c>
      <c r="P2" s="221" t="s">
        <v>1656</v>
      </c>
    </row>
    <row r="3" spans="1:16">
      <c r="A3" s="221" t="str">
        <f>LEFT(B3,2)</f>
        <v>13</v>
      </c>
      <c r="B3" s="215">
        <v>131000000</v>
      </c>
      <c r="C3" s="244" t="s">
        <v>1224</v>
      </c>
      <c r="D3" s="245">
        <v>98009.16</v>
      </c>
      <c r="E3" s="245">
        <v>0</v>
      </c>
      <c r="F3" s="245">
        <v>0</v>
      </c>
      <c r="G3" s="245">
        <v>2400</v>
      </c>
      <c r="H3" s="245">
        <v>0</v>
      </c>
      <c r="I3" s="250">
        <v>100409.16</v>
      </c>
      <c r="J3" s="244" t="s">
        <v>905</v>
      </c>
    </row>
    <row r="4" spans="1:16">
      <c r="A4" s="221" t="str">
        <f t="shared" ref="A4:A33" si="0">LEFT(B4,2)</f>
        <v>21</v>
      </c>
      <c r="B4" s="215">
        <v>211000000</v>
      </c>
      <c r="C4" s="244" t="s">
        <v>1225</v>
      </c>
      <c r="D4" s="245">
        <v>35703.94</v>
      </c>
      <c r="E4" s="245">
        <v>250270.86</v>
      </c>
      <c r="F4" s="245">
        <v>0</v>
      </c>
      <c r="G4" s="245">
        <v>358603.04</v>
      </c>
      <c r="H4" s="245">
        <v>0</v>
      </c>
      <c r="I4" s="250">
        <v>394306.98</v>
      </c>
      <c r="J4" s="244" t="s">
        <v>906</v>
      </c>
    </row>
    <row r="5" spans="1:16">
      <c r="A5" s="221" t="str">
        <f t="shared" si="0"/>
        <v>21</v>
      </c>
      <c r="B5" s="215">
        <v>212000000</v>
      </c>
      <c r="C5" s="244" t="s">
        <v>1226</v>
      </c>
      <c r="D5" s="245">
        <v>3137.13</v>
      </c>
      <c r="E5" s="245">
        <v>0</v>
      </c>
      <c r="F5" s="245">
        <v>0</v>
      </c>
      <c r="G5" s="245">
        <v>0</v>
      </c>
      <c r="H5" s="245">
        <v>0</v>
      </c>
      <c r="I5" s="250">
        <v>3137.13</v>
      </c>
      <c r="J5" s="244" t="s">
        <v>907</v>
      </c>
    </row>
    <row r="6" spans="1:16">
      <c r="A6" s="221" t="str">
        <f t="shared" si="0"/>
        <v>21</v>
      </c>
      <c r="B6" s="215">
        <v>213000000</v>
      </c>
      <c r="C6" s="244" t="s">
        <v>1227</v>
      </c>
      <c r="D6" s="245">
        <v>41535.699999999997</v>
      </c>
      <c r="E6" s="245">
        <v>21973.03</v>
      </c>
      <c r="F6" s="245">
        <v>0</v>
      </c>
      <c r="G6" s="245">
        <v>21973.03</v>
      </c>
      <c r="H6" s="245">
        <v>0</v>
      </c>
      <c r="I6" s="250">
        <v>63508.73</v>
      </c>
      <c r="J6" s="244" t="s">
        <v>908</v>
      </c>
    </row>
    <row r="7" spans="1:16">
      <c r="A7" s="221" t="str">
        <f t="shared" si="0"/>
        <v>21</v>
      </c>
      <c r="B7" s="215">
        <v>214000000</v>
      </c>
      <c r="C7" s="244" t="s">
        <v>1228</v>
      </c>
      <c r="D7" s="245">
        <v>27714.15</v>
      </c>
      <c r="E7" s="245">
        <v>0</v>
      </c>
      <c r="F7" s="245">
        <v>0</v>
      </c>
      <c r="G7" s="255">
        <v>-8005.93</v>
      </c>
      <c r="H7" s="245">
        <v>0</v>
      </c>
      <c r="I7" s="250">
        <v>19708.22</v>
      </c>
      <c r="J7" s="244" t="s">
        <v>909</v>
      </c>
    </row>
    <row r="8" spans="1:16">
      <c r="A8" s="221" t="str">
        <f t="shared" si="0"/>
        <v>21</v>
      </c>
      <c r="B8" s="215">
        <v>215000000</v>
      </c>
      <c r="C8" s="244" t="s">
        <v>1229</v>
      </c>
      <c r="D8" s="245">
        <v>0</v>
      </c>
      <c r="E8" s="245">
        <v>0</v>
      </c>
      <c r="F8" s="245">
        <v>0</v>
      </c>
      <c r="G8" s="245">
        <v>11861.48</v>
      </c>
      <c r="H8" s="245">
        <v>0</v>
      </c>
      <c r="I8" s="250">
        <v>11861.48</v>
      </c>
      <c r="J8" s="244" t="s">
        <v>910</v>
      </c>
    </row>
    <row r="9" spans="1:16">
      <c r="A9" s="221" t="str">
        <f t="shared" si="0"/>
        <v>21</v>
      </c>
      <c r="B9" s="215">
        <v>216000000</v>
      </c>
      <c r="C9" s="244" t="s">
        <v>1230</v>
      </c>
      <c r="D9" s="245">
        <v>0</v>
      </c>
      <c r="E9" s="245">
        <v>0</v>
      </c>
      <c r="F9" s="245">
        <v>0</v>
      </c>
      <c r="G9" s="245">
        <v>13286.92</v>
      </c>
      <c r="H9" s="245">
        <v>0</v>
      </c>
      <c r="I9" s="250">
        <v>13286.92</v>
      </c>
      <c r="J9" s="244" t="s">
        <v>911</v>
      </c>
    </row>
    <row r="10" spans="1:16">
      <c r="A10" s="221" t="str">
        <f t="shared" si="0"/>
        <v>21</v>
      </c>
      <c r="B10" s="215">
        <v>217000000</v>
      </c>
      <c r="C10" s="244" t="s">
        <v>1231</v>
      </c>
      <c r="D10" s="245">
        <v>0</v>
      </c>
      <c r="E10" s="245">
        <v>0</v>
      </c>
      <c r="F10" s="245">
        <v>0</v>
      </c>
      <c r="G10" s="245">
        <v>12625.12</v>
      </c>
      <c r="H10" s="245">
        <v>0</v>
      </c>
      <c r="I10" s="250">
        <v>12625.12</v>
      </c>
      <c r="J10" s="244" t="s">
        <v>912</v>
      </c>
    </row>
    <row r="11" spans="1:16">
      <c r="A11" s="221" t="str">
        <f t="shared" si="0"/>
        <v>22</v>
      </c>
      <c r="B11" s="215">
        <v>221000000</v>
      </c>
      <c r="C11" s="244" t="s">
        <v>1232</v>
      </c>
      <c r="D11" s="245">
        <v>59172.53</v>
      </c>
      <c r="E11" s="245">
        <v>104351.21</v>
      </c>
      <c r="F11" s="245">
        <v>0</v>
      </c>
      <c r="G11" s="245">
        <v>106208.49</v>
      </c>
      <c r="H11" s="245">
        <v>0</v>
      </c>
      <c r="I11" s="250">
        <v>165381.01999999999</v>
      </c>
      <c r="J11" s="244" t="s">
        <v>913</v>
      </c>
    </row>
    <row r="12" spans="1:16">
      <c r="A12" s="221" t="str">
        <f t="shared" si="0"/>
        <v>22</v>
      </c>
      <c r="B12" s="215">
        <v>222000000</v>
      </c>
      <c r="C12" s="244" t="s">
        <v>1233</v>
      </c>
      <c r="D12" s="245">
        <v>3713.07</v>
      </c>
      <c r="E12" s="245">
        <v>0</v>
      </c>
      <c r="F12" s="245">
        <v>0</v>
      </c>
      <c r="G12" s="245">
        <v>0</v>
      </c>
      <c r="H12" s="245">
        <v>0</v>
      </c>
      <c r="I12" s="250">
        <v>3713.07</v>
      </c>
      <c r="J12" s="244" t="s">
        <v>914</v>
      </c>
    </row>
    <row r="13" spans="1:16">
      <c r="A13" s="221" t="str">
        <f t="shared" si="0"/>
        <v>22</v>
      </c>
      <c r="B13" s="215">
        <v>223000000</v>
      </c>
      <c r="C13" s="244" t="s">
        <v>1234</v>
      </c>
      <c r="D13" s="245">
        <v>77250.600000000006</v>
      </c>
      <c r="E13" s="245">
        <v>0</v>
      </c>
      <c r="F13" s="245">
        <v>0</v>
      </c>
      <c r="G13" s="245">
        <v>4350.8900000000003</v>
      </c>
      <c r="H13" s="245">
        <v>0</v>
      </c>
      <c r="I13" s="250">
        <v>81601.490000000005</v>
      </c>
      <c r="J13" s="244" t="s">
        <v>915</v>
      </c>
    </row>
    <row r="14" spans="1:16">
      <c r="A14" s="221" t="str">
        <f t="shared" si="0"/>
        <v>22</v>
      </c>
      <c r="B14" s="215">
        <v>224000000</v>
      </c>
      <c r="C14" s="244" t="s">
        <v>1235</v>
      </c>
      <c r="D14" s="245">
        <v>1036555.6</v>
      </c>
      <c r="E14" s="245">
        <v>3200</v>
      </c>
      <c r="F14" s="245">
        <v>0</v>
      </c>
      <c r="G14" s="245">
        <v>3200</v>
      </c>
      <c r="H14" s="245">
        <v>0</v>
      </c>
      <c r="I14" s="250">
        <v>1039755.6</v>
      </c>
      <c r="J14" s="244" t="s">
        <v>916</v>
      </c>
    </row>
    <row r="15" spans="1:16">
      <c r="A15" s="221" t="str">
        <f t="shared" si="0"/>
        <v>22</v>
      </c>
      <c r="B15" s="215">
        <v>225000000</v>
      </c>
      <c r="C15" s="244" t="s">
        <v>1236</v>
      </c>
      <c r="D15" s="245">
        <v>0</v>
      </c>
      <c r="E15" s="245">
        <v>0</v>
      </c>
      <c r="F15" s="245">
        <v>0</v>
      </c>
      <c r="G15" s="245">
        <v>5920</v>
      </c>
      <c r="H15" s="245">
        <v>0</v>
      </c>
      <c r="I15" s="250">
        <v>5920</v>
      </c>
      <c r="J15" s="244" t="s">
        <v>917</v>
      </c>
    </row>
    <row r="16" spans="1:16">
      <c r="A16" s="221" t="str">
        <f t="shared" si="0"/>
        <v>22</v>
      </c>
      <c r="B16" s="215">
        <v>226000000</v>
      </c>
      <c r="C16" s="244" t="s">
        <v>1237</v>
      </c>
      <c r="D16" s="245">
        <v>0</v>
      </c>
      <c r="E16" s="245">
        <v>0</v>
      </c>
      <c r="F16" s="245">
        <v>0</v>
      </c>
      <c r="G16" s="245">
        <v>320</v>
      </c>
      <c r="H16" s="245">
        <v>0</v>
      </c>
      <c r="I16" s="250">
        <v>320</v>
      </c>
      <c r="J16" s="244" t="s">
        <v>918</v>
      </c>
    </row>
    <row r="17" spans="1:10">
      <c r="A17" s="221" t="str">
        <f t="shared" si="0"/>
        <v>23</v>
      </c>
      <c r="B17" s="215">
        <v>231000000</v>
      </c>
      <c r="C17" s="244" t="s">
        <v>1238</v>
      </c>
      <c r="D17" s="245">
        <v>157933.35</v>
      </c>
      <c r="E17" s="245">
        <v>0</v>
      </c>
      <c r="F17" s="245">
        <v>0</v>
      </c>
      <c r="G17" s="245">
        <v>0</v>
      </c>
      <c r="H17" s="245">
        <v>0</v>
      </c>
      <c r="I17" s="250">
        <v>157933.35</v>
      </c>
      <c r="J17" s="244" t="s">
        <v>487</v>
      </c>
    </row>
    <row r="18" spans="1:10">
      <c r="A18" s="221" t="str">
        <f t="shared" si="0"/>
        <v>29</v>
      </c>
      <c r="B18" s="215">
        <v>291000000</v>
      </c>
      <c r="C18" s="244" t="s">
        <v>1239</v>
      </c>
      <c r="D18" s="245">
        <v>115030.28</v>
      </c>
      <c r="E18" s="245">
        <v>0</v>
      </c>
      <c r="F18" s="245">
        <v>0</v>
      </c>
      <c r="G18" s="245">
        <v>0</v>
      </c>
      <c r="H18" s="245">
        <v>0</v>
      </c>
      <c r="I18" s="250">
        <v>115030.28</v>
      </c>
      <c r="J18" s="244" t="s">
        <v>919</v>
      </c>
    </row>
    <row r="19" spans="1:10">
      <c r="A19" s="221" t="str">
        <f t="shared" si="0"/>
        <v>41</v>
      </c>
      <c r="B19" s="215">
        <v>411000000</v>
      </c>
      <c r="C19" s="244" t="s">
        <v>1240</v>
      </c>
      <c r="D19" s="245">
        <v>0</v>
      </c>
      <c r="E19" s="245">
        <v>0</v>
      </c>
      <c r="F19" s="245">
        <v>0</v>
      </c>
      <c r="G19" s="245">
        <v>2400</v>
      </c>
      <c r="H19" s="245">
        <v>2400</v>
      </c>
      <c r="I19" s="250">
        <v>0</v>
      </c>
      <c r="J19" s="244" t="s">
        <v>920</v>
      </c>
    </row>
    <row r="20" spans="1:10">
      <c r="A20" s="221" t="str">
        <f t="shared" si="0"/>
        <v>42</v>
      </c>
      <c r="B20" s="215">
        <v>421000000</v>
      </c>
      <c r="C20" s="244" t="s">
        <v>1241</v>
      </c>
      <c r="D20" s="245">
        <v>103072</v>
      </c>
      <c r="E20" s="245">
        <v>0</v>
      </c>
      <c r="F20" s="245">
        <v>103072</v>
      </c>
      <c r="G20" s="245">
        <v>0</v>
      </c>
      <c r="H20" s="245">
        <v>103072</v>
      </c>
      <c r="I20" s="250">
        <v>0</v>
      </c>
      <c r="J20" s="244" t="s">
        <v>921</v>
      </c>
    </row>
    <row r="21" spans="1:10">
      <c r="A21" s="221" t="str">
        <f t="shared" si="0"/>
        <v>42</v>
      </c>
      <c r="B21" s="215">
        <v>422000000</v>
      </c>
      <c r="C21" s="244" t="s">
        <v>1242</v>
      </c>
      <c r="D21" s="245">
        <v>0</v>
      </c>
      <c r="E21" s="245">
        <v>47235.65</v>
      </c>
      <c r="F21" s="245">
        <v>37471.599999999999</v>
      </c>
      <c r="G21" s="245">
        <v>237354.99</v>
      </c>
      <c r="H21" s="245">
        <v>196025.47</v>
      </c>
      <c r="I21" s="250">
        <v>41329.519999999997</v>
      </c>
      <c r="J21" s="244" t="s">
        <v>922</v>
      </c>
    </row>
    <row r="22" spans="1:10">
      <c r="A22" s="221" t="str">
        <f t="shared" si="0"/>
        <v>42</v>
      </c>
      <c r="B22" s="215">
        <v>423000000</v>
      </c>
      <c r="C22" s="244" t="s">
        <v>1243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50">
        <v>0</v>
      </c>
      <c r="J22" s="244" t="s">
        <v>923</v>
      </c>
    </row>
    <row r="23" spans="1:10">
      <c r="A23" s="221" t="str">
        <f t="shared" si="0"/>
        <v>42</v>
      </c>
      <c r="B23" s="215">
        <v>424000000</v>
      </c>
      <c r="C23" s="244" t="s">
        <v>1244</v>
      </c>
      <c r="D23" s="245">
        <v>0</v>
      </c>
      <c r="E23" s="245">
        <v>6129.07</v>
      </c>
      <c r="F23" s="245">
        <v>239251.5</v>
      </c>
      <c r="G23" s="245">
        <v>239251.5</v>
      </c>
      <c r="H23" s="245">
        <v>239251.5</v>
      </c>
      <c r="I23" s="250">
        <v>0</v>
      </c>
      <c r="J23" s="244" t="s">
        <v>924</v>
      </c>
    </row>
    <row r="24" spans="1:10">
      <c r="A24" s="221" t="str">
        <f t="shared" si="0"/>
        <v>52</v>
      </c>
      <c r="B24" s="215">
        <v>521000000</v>
      </c>
      <c r="C24" s="244" t="s">
        <v>1245</v>
      </c>
      <c r="D24" s="245">
        <v>0</v>
      </c>
      <c r="E24" s="245">
        <v>0</v>
      </c>
      <c r="F24" s="245">
        <v>0</v>
      </c>
      <c r="G24" s="245">
        <v>6038.02</v>
      </c>
      <c r="H24" s="245">
        <v>6038.02</v>
      </c>
      <c r="I24" s="250">
        <v>0</v>
      </c>
      <c r="J24" s="244" t="s">
        <v>925</v>
      </c>
    </row>
    <row r="25" spans="1:10">
      <c r="A25" s="221" t="str">
        <f t="shared" si="0"/>
        <v>73</v>
      </c>
      <c r="B25" s="215">
        <v>731000000</v>
      </c>
      <c r="C25" s="244" t="s">
        <v>1246</v>
      </c>
      <c r="D25" s="245">
        <v>-67383.360000000001</v>
      </c>
      <c r="E25" s="245">
        <v>0</v>
      </c>
      <c r="F25" s="245">
        <v>2091.92</v>
      </c>
      <c r="G25" s="245">
        <v>0</v>
      </c>
      <c r="H25" s="245">
        <v>24803.040000000001</v>
      </c>
      <c r="I25" s="250">
        <v>-92186.4</v>
      </c>
      <c r="J25" s="244" t="s">
        <v>926</v>
      </c>
    </row>
    <row r="26" spans="1:10">
      <c r="A26" s="221" t="str">
        <f t="shared" si="0"/>
        <v>81</v>
      </c>
      <c r="B26" s="215">
        <v>811000000</v>
      </c>
      <c r="C26" s="244" t="s">
        <v>1247</v>
      </c>
      <c r="D26" s="245">
        <v>-1352.42</v>
      </c>
      <c r="E26" s="245">
        <v>0</v>
      </c>
      <c r="F26" s="245">
        <v>3135.02</v>
      </c>
      <c r="G26" s="245">
        <v>0</v>
      </c>
      <c r="H26" s="245">
        <v>8693.7999999999993</v>
      </c>
      <c r="I26" s="250">
        <v>-10046.219999999999</v>
      </c>
      <c r="J26" s="244" t="s">
        <v>488</v>
      </c>
    </row>
    <row r="27" spans="1:10">
      <c r="A27" s="221" t="str">
        <f t="shared" si="0"/>
        <v>82</v>
      </c>
      <c r="B27" s="215">
        <v>821000000</v>
      </c>
      <c r="C27" s="244" t="s">
        <v>1248</v>
      </c>
      <c r="D27" s="245">
        <v>-28576.1</v>
      </c>
      <c r="E27" s="245">
        <v>0</v>
      </c>
      <c r="F27" s="245">
        <v>961.99</v>
      </c>
      <c r="G27" s="245">
        <v>0</v>
      </c>
      <c r="H27" s="245">
        <v>6657.72</v>
      </c>
      <c r="I27" s="250">
        <v>-35233.82</v>
      </c>
      <c r="J27" s="244" t="s">
        <v>927</v>
      </c>
    </row>
    <row r="28" spans="1:10">
      <c r="A28" s="221" t="str">
        <f t="shared" si="0"/>
        <v>82</v>
      </c>
      <c r="B28" s="215">
        <v>822000000</v>
      </c>
      <c r="C28" s="244" t="s">
        <v>1249</v>
      </c>
      <c r="D28" s="245">
        <v>-3713.07</v>
      </c>
      <c r="E28" s="245">
        <v>0</v>
      </c>
      <c r="F28" s="245">
        <v>0</v>
      </c>
      <c r="G28" s="245">
        <v>0</v>
      </c>
      <c r="H28" s="245">
        <v>0</v>
      </c>
      <c r="I28" s="250">
        <v>-3713.07</v>
      </c>
      <c r="J28" s="244" t="s">
        <v>928</v>
      </c>
    </row>
    <row r="29" spans="1:10">
      <c r="A29" s="221" t="str">
        <f t="shared" si="0"/>
        <v>82</v>
      </c>
      <c r="B29" s="215">
        <v>823000000</v>
      </c>
      <c r="C29" s="244" t="s">
        <v>1250</v>
      </c>
      <c r="D29" s="245">
        <v>-64925.26</v>
      </c>
      <c r="E29" s="245">
        <v>0</v>
      </c>
      <c r="F29" s="245">
        <v>419.85</v>
      </c>
      <c r="G29" s="245">
        <v>0</v>
      </c>
      <c r="H29" s="245">
        <v>4488.5600000000004</v>
      </c>
      <c r="I29" s="250">
        <v>-69413.820000000007</v>
      </c>
      <c r="J29" s="244" t="s">
        <v>929</v>
      </c>
    </row>
    <row r="30" spans="1:10">
      <c r="A30" s="221" t="str">
        <f t="shared" si="0"/>
        <v>82</v>
      </c>
      <c r="B30" s="215">
        <v>824000000</v>
      </c>
      <c r="C30" s="244" t="s">
        <v>1251</v>
      </c>
      <c r="D30" s="245">
        <v>-984125.2</v>
      </c>
      <c r="E30" s="245">
        <v>0</v>
      </c>
      <c r="F30" s="245">
        <v>1634.98</v>
      </c>
      <c r="G30" s="245">
        <v>0</v>
      </c>
      <c r="H30" s="245">
        <v>18346.84</v>
      </c>
      <c r="I30" s="250">
        <v>-1002472.04</v>
      </c>
      <c r="J30" s="244" t="s">
        <v>930</v>
      </c>
    </row>
    <row r="31" spans="1:10">
      <c r="A31" s="221" t="str">
        <f t="shared" si="0"/>
        <v>83</v>
      </c>
      <c r="B31" s="215">
        <v>831000000</v>
      </c>
      <c r="C31" s="244" t="s">
        <v>1252</v>
      </c>
      <c r="D31" s="245">
        <v>-157933.35</v>
      </c>
      <c r="E31" s="245">
        <v>0</v>
      </c>
      <c r="F31" s="245">
        <v>0</v>
      </c>
      <c r="G31" s="245">
        <v>0</v>
      </c>
      <c r="H31" s="245">
        <v>0</v>
      </c>
      <c r="I31" s="250">
        <v>-157933.35</v>
      </c>
      <c r="J31" s="244" t="s">
        <v>931</v>
      </c>
    </row>
    <row r="32" spans="1:10">
      <c r="A32" s="221" t="str">
        <f t="shared" si="0"/>
        <v>89</v>
      </c>
      <c r="B32" s="215">
        <v>891000000</v>
      </c>
      <c r="C32" s="244" t="s">
        <v>1253</v>
      </c>
      <c r="D32" s="245">
        <v>-36254.32</v>
      </c>
      <c r="E32" s="245">
        <v>0</v>
      </c>
      <c r="F32" s="245">
        <v>691.84</v>
      </c>
      <c r="G32" s="245">
        <v>0</v>
      </c>
      <c r="H32" s="245">
        <v>8302.08</v>
      </c>
      <c r="I32" s="250">
        <v>-44556.4</v>
      </c>
      <c r="J32" s="244" t="s">
        <v>932</v>
      </c>
    </row>
    <row r="33" spans="1:10">
      <c r="A33" s="221" t="str">
        <f t="shared" si="0"/>
        <v>94</v>
      </c>
      <c r="B33" s="215">
        <v>941000000</v>
      </c>
      <c r="C33" s="244" t="s">
        <v>1254</v>
      </c>
      <c r="D33" s="245">
        <v>-29036</v>
      </c>
      <c r="E33" s="245">
        <v>29036</v>
      </c>
      <c r="F33" s="245">
        <v>0</v>
      </c>
      <c r="G33" s="245">
        <v>29036</v>
      </c>
      <c r="H33" s="245">
        <v>0</v>
      </c>
      <c r="I33" s="250">
        <v>0</v>
      </c>
      <c r="J33" s="244" t="s">
        <v>933</v>
      </c>
    </row>
    <row r="34" spans="1:10">
      <c r="A34" s="221" t="str">
        <f>LEFT(B34,3)</f>
        <v>111</v>
      </c>
      <c r="B34" s="215">
        <v>1111211000</v>
      </c>
      <c r="C34" s="244" t="s">
        <v>1255</v>
      </c>
      <c r="D34" s="245">
        <v>0</v>
      </c>
      <c r="E34" s="245">
        <v>4545.51</v>
      </c>
      <c r="F34" s="245">
        <v>4545.51</v>
      </c>
      <c r="G34" s="245">
        <v>64407.4</v>
      </c>
      <c r="H34" s="245">
        <v>64407.4</v>
      </c>
      <c r="I34" s="250">
        <v>0</v>
      </c>
      <c r="J34" s="244" t="s">
        <v>934</v>
      </c>
    </row>
    <row r="35" spans="1:10">
      <c r="A35" s="221" t="str">
        <f t="shared" ref="A35:A98" si="1">LEFT(B35,3)</f>
        <v>111</v>
      </c>
      <c r="B35" s="215">
        <v>1111212000</v>
      </c>
      <c r="C35" s="244" t="s">
        <v>1256</v>
      </c>
      <c r="D35" s="245">
        <v>0</v>
      </c>
      <c r="E35" s="245">
        <v>63.42</v>
      </c>
      <c r="F35" s="245">
        <v>63.42</v>
      </c>
      <c r="G35" s="245">
        <v>1029.74</v>
      </c>
      <c r="H35" s="245">
        <v>1029.74</v>
      </c>
      <c r="I35" s="250">
        <v>0</v>
      </c>
      <c r="J35" s="244" t="s">
        <v>935</v>
      </c>
    </row>
    <row r="36" spans="1:10">
      <c r="A36" s="221" t="str">
        <f t="shared" si="1"/>
        <v>111</v>
      </c>
      <c r="B36" s="215">
        <v>1111300000</v>
      </c>
      <c r="C36" s="244" t="s">
        <v>1257</v>
      </c>
      <c r="D36" s="245">
        <v>0</v>
      </c>
      <c r="E36" s="245">
        <v>28373.97</v>
      </c>
      <c r="F36" s="245">
        <v>28373.97</v>
      </c>
      <c r="G36" s="245">
        <v>307312.52</v>
      </c>
      <c r="H36" s="245">
        <v>307312.52</v>
      </c>
      <c r="I36" s="250">
        <v>0</v>
      </c>
      <c r="J36" s="244" t="s">
        <v>936</v>
      </c>
    </row>
    <row r="37" spans="1:10">
      <c r="A37" s="221" t="str">
        <f t="shared" si="1"/>
        <v>111</v>
      </c>
      <c r="B37" s="215">
        <v>1111400000</v>
      </c>
      <c r="C37" s="244" t="s">
        <v>1258</v>
      </c>
      <c r="D37" s="245">
        <v>0</v>
      </c>
      <c r="E37" s="245">
        <v>18008.22</v>
      </c>
      <c r="F37" s="245">
        <v>18165.34</v>
      </c>
      <c r="G37" s="245">
        <v>228307.71</v>
      </c>
      <c r="H37" s="245">
        <v>228307.71</v>
      </c>
      <c r="I37" s="250">
        <v>0</v>
      </c>
      <c r="J37" s="244" t="s">
        <v>937</v>
      </c>
    </row>
    <row r="38" spans="1:10">
      <c r="A38" s="221" t="str">
        <f t="shared" si="1"/>
        <v>111</v>
      </c>
      <c r="B38" s="215">
        <v>1111500000</v>
      </c>
      <c r="C38" s="244" t="s">
        <v>1259</v>
      </c>
      <c r="D38" s="245">
        <v>0</v>
      </c>
      <c r="E38" s="245">
        <v>5616.24</v>
      </c>
      <c r="F38" s="245">
        <v>5616.24</v>
      </c>
      <c r="G38" s="245">
        <v>78266.8</v>
      </c>
      <c r="H38" s="245">
        <v>78266.8</v>
      </c>
      <c r="I38" s="250">
        <v>0</v>
      </c>
      <c r="J38" s="244" t="s">
        <v>938</v>
      </c>
    </row>
    <row r="39" spans="1:10">
      <c r="A39" s="221" t="str">
        <f t="shared" si="1"/>
        <v>111</v>
      </c>
      <c r="B39" s="215">
        <v>1111611000</v>
      </c>
      <c r="C39" s="244" t="s">
        <v>1260</v>
      </c>
      <c r="D39" s="245">
        <v>0</v>
      </c>
      <c r="E39" s="245">
        <v>7025.91</v>
      </c>
      <c r="F39" s="245">
        <v>7025.91</v>
      </c>
      <c r="G39" s="245">
        <v>95562.78</v>
      </c>
      <c r="H39" s="245">
        <v>95562.78</v>
      </c>
      <c r="I39" s="250">
        <v>0</v>
      </c>
      <c r="J39" s="244" t="s">
        <v>939</v>
      </c>
    </row>
    <row r="40" spans="1:10">
      <c r="A40" s="221" t="str">
        <f t="shared" si="1"/>
        <v>111</v>
      </c>
      <c r="B40" s="215">
        <v>1111711000</v>
      </c>
      <c r="C40" s="244" t="s">
        <v>1261</v>
      </c>
      <c r="D40" s="245">
        <v>0</v>
      </c>
      <c r="E40" s="245">
        <v>1995.01</v>
      </c>
      <c r="F40" s="245">
        <v>1995.01</v>
      </c>
      <c r="G40" s="245">
        <v>36445.599999999999</v>
      </c>
      <c r="H40" s="245">
        <v>36445.599999999999</v>
      </c>
      <c r="I40" s="250">
        <v>0</v>
      </c>
      <c r="J40" s="244" t="s">
        <v>940</v>
      </c>
    </row>
    <row r="41" spans="1:10">
      <c r="A41" s="221" t="str">
        <f t="shared" si="1"/>
        <v>111</v>
      </c>
      <c r="B41" s="215">
        <v>1111712000</v>
      </c>
      <c r="C41" s="244" t="s">
        <v>1262</v>
      </c>
      <c r="D41" s="245">
        <v>0</v>
      </c>
      <c r="E41" s="245">
        <v>2085.8000000000002</v>
      </c>
      <c r="F41" s="245">
        <v>2085.8000000000002</v>
      </c>
      <c r="G41" s="245">
        <v>26217.23</v>
      </c>
      <c r="H41" s="245">
        <v>26217.23</v>
      </c>
      <c r="I41" s="250">
        <v>0</v>
      </c>
      <c r="J41" s="244" t="s">
        <v>941</v>
      </c>
    </row>
    <row r="42" spans="1:10">
      <c r="A42" s="221" t="str">
        <f t="shared" si="1"/>
        <v>111</v>
      </c>
      <c r="B42" s="215">
        <v>1111811000</v>
      </c>
      <c r="C42" s="244" t="s">
        <v>1263</v>
      </c>
      <c r="D42" s="245">
        <v>0</v>
      </c>
      <c r="E42" s="245">
        <v>902.47</v>
      </c>
      <c r="F42" s="245">
        <v>902.47</v>
      </c>
      <c r="G42" s="245">
        <v>11107.94</v>
      </c>
      <c r="H42" s="245">
        <v>11107.94</v>
      </c>
      <c r="I42" s="250">
        <v>0</v>
      </c>
      <c r="J42" s="244" t="s">
        <v>942</v>
      </c>
    </row>
    <row r="43" spans="1:10">
      <c r="A43" s="221" t="str">
        <f t="shared" si="1"/>
        <v>112</v>
      </c>
      <c r="B43" s="215">
        <v>1121100000</v>
      </c>
      <c r="C43" s="244" t="s">
        <v>1264</v>
      </c>
      <c r="D43" s="245">
        <v>62376.28</v>
      </c>
      <c r="E43" s="245">
        <v>15622.72</v>
      </c>
      <c r="F43" s="245">
        <v>0</v>
      </c>
      <c r="G43" s="245">
        <v>15622.72</v>
      </c>
      <c r="H43" s="245">
        <v>0</v>
      </c>
      <c r="I43" s="250">
        <v>77999</v>
      </c>
      <c r="J43" s="244" t="s">
        <v>943</v>
      </c>
    </row>
    <row r="44" spans="1:10">
      <c r="A44" s="221" t="str">
        <f t="shared" si="1"/>
        <v>112</v>
      </c>
      <c r="B44" s="215">
        <v>1121211000</v>
      </c>
      <c r="C44" s="244" t="s">
        <v>1265</v>
      </c>
      <c r="D44" s="245">
        <v>1371.17</v>
      </c>
      <c r="E44" s="245">
        <v>4545.5</v>
      </c>
      <c r="F44" s="245">
        <v>4338.32</v>
      </c>
      <c r="G44" s="245">
        <v>64982.18</v>
      </c>
      <c r="H44" s="245">
        <v>64402.36</v>
      </c>
      <c r="I44" s="250">
        <v>1950.99</v>
      </c>
      <c r="J44" s="244" t="s">
        <v>944</v>
      </c>
    </row>
    <row r="45" spans="1:10">
      <c r="A45" s="221" t="str">
        <f t="shared" si="1"/>
        <v>112</v>
      </c>
      <c r="B45" s="215">
        <v>1121212000</v>
      </c>
      <c r="C45" s="244" t="s">
        <v>1266</v>
      </c>
      <c r="D45" s="245">
        <v>0</v>
      </c>
      <c r="E45" s="245">
        <v>63.42</v>
      </c>
      <c r="F45" s="245">
        <v>63.42</v>
      </c>
      <c r="G45" s="245">
        <v>1029.73</v>
      </c>
      <c r="H45" s="245">
        <v>1029.73</v>
      </c>
      <c r="I45" s="250">
        <v>0</v>
      </c>
      <c r="J45" s="244" t="s">
        <v>945</v>
      </c>
    </row>
    <row r="46" spans="1:10">
      <c r="A46" s="221" t="str">
        <f t="shared" si="1"/>
        <v>112</v>
      </c>
      <c r="B46" s="215">
        <v>1121300000</v>
      </c>
      <c r="C46" s="244" t="s">
        <v>1267</v>
      </c>
      <c r="D46" s="245">
        <v>13378.25</v>
      </c>
      <c r="E46" s="245">
        <v>28444.13</v>
      </c>
      <c r="F46" s="245">
        <v>27859.25</v>
      </c>
      <c r="G46" s="245">
        <v>321415.39</v>
      </c>
      <c r="H46" s="245">
        <v>322459.59999999998</v>
      </c>
      <c r="I46" s="250">
        <v>12334.04</v>
      </c>
      <c r="J46" s="244" t="s">
        <v>946</v>
      </c>
    </row>
    <row r="47" spans="1:10">
      <c r="A47" s="221" t="str">
        <f t="shared" si="1"/>
        <v>112</v>
      </c>
      <c r="B47" s="215">
        <v>1121411000</v>
      </c>
      <c r="C47" s="244" t="s">
        <v>1268</v>
      </c>
      <c r="D47" s="245">
        <v>16584.18</v>
      </c>
      <c r="E47" s="245">
        <v>18191.14</v>
      </c>
      <c r="F47" s="245">
        <v>19280.41</v>
      </c>
      <c r="G47" s="245">
        <v>215076.89</v>
      </c>
      <c r="H47" s="245">
        <v>227246.98</v>
      </c>
      <c r="I47" s="250">
        <v>4414.09</v>
      </c>
      <c r="J47" s="244" t="s">
        <v>947</v>
      </c>
    </row>
    <row r="48" spans="1:10">
      <c r="A48" s="221" t="str">
        <f t="shared" si="1"/>
        <v>112</v>
      </c>
      <c r="B48" s="215">
        <v>1121500000</v>
      </c>
      <c r="C48" s="244" t="s">
        <v>1269</v>
      </c>
      <c r="D48" s="245">
        <v>2477.3000000000002</v>
      </c>
      <c r="E48" s="245">
        <v>5616.02</v>
      </c>
      <c r="F48" s="245">
        <v>5780.42</v>
      </c>
      <c r="G48" s="245">
        <v>78265.72</v>
      </c>
      <c r="H48" s="245">
        <v>77559.77</v>
      </c>
      <c r="I48" s="250">
        <v>3183.25</v>
      </c>
      <c r="J48" s="244" t="s">
        <v>948</v>
      </c>
    </row>
    <row r="49" spans="1:10">
      <c r="A49" s="221" t="str">
        <f t="shared" si="1"/>
        <v>112</v>
      </c>
      <c r="B49" s="215">
        <v>1121611000</v>
      </c>
      <c r="C49" s="244" t="s">
        <v>1270</v>
      </c>
      <c r="D49" s="245">
        <v>3410.92</v>
      </c>
      <c r="E49" s="245">
        <v>7025.47</v>
      </c>
      <c r="F49" s="245">
        <v>6393.75</v>
      </c>
      <c r="G49" s="245">
        <v>95783.54</v>
      </c>
      <c r="H49" s="245">
        <v>95935.2</v>
      </c>
      <c r="I49" s="250">
        <v>3259.26</v>
      </c>
      <c r="J49" s="244" t="s">
        <v>949</v>
      </c>
    </row>
    <row r="50" spans="1:10">
      <c r="A50" s="221" t="str">
        <f t="shared" si="1"/>
        <v>112</v>
      </c>
      <c r="B50" s="215">
        <v>1121711000</v>
      </c>
      <c r="C50" s="244" t="s">
        <v>1271</v>
      </c>
      <c r="D50" s="245">
        <v>2511.4</v>
      </c>
      <c r="E50" s="245">
        <v>2010.43</v>
      </c>
      <c r="F50" s="245">
        <v>2148.73</v>
      </c>
      <c r="G50" s="245">
        <v>36460.660000000003</v>
      </c>
      <c r="H50" s="245">
        <v>36502.47</v>
      </c>
      <c r="I50" s="250">
        <v>2469.59</v>
      </c>
      <c r="J50" s="244" t="s">
        <v>950</v>
      </c>
    </row>
    <row r="51" spans="1:10">
      <c r="A51" s="221" t="str">
        <f t="shared" si="1"/>
        <v>112</v>
      </c>
      <c r="B51" s="215">
        <v>1121712000</v>
      </c>
      <c r="C51" s="244" t="s">
        <v>1272</v>
      </c>
      <c r="D51" s="245">
        <v>2772.72</v>
      </c>
      <c r="E51" s="245">
        <v>2085.81</v>
      </c>
      <c r="F51" s="245">
        <v>1629.51</v>
      </c>
      <c r="G51" s="245">
        <v>26216.97</v>
      </c>
      <c r="H51" s="245">
        <v>25165.16</v>
      </c>
      <c r="I51" s="250">
        <v>3824.53</v>
      </c>
      <c r="J51" s="244" t="s">
        <v>951</v>
      </c>
    </row>
    <row r="52" spans="1:10">
      <c r="A52" s="221" t="str">
        <f t="shared" si="1"/>
        <v>112</v>
      </c>
      <c r="B52" s="215">
        <v>1121811000</v>
      </c>
      <c r="C52" s="244" t="s">
        <v>1273</v>
      </c>
      <c r="D52" s="245">
        <v>3039.21</v>
      </c>
      <c r="E52" s="245">
        <v>902.44</v>
      </c>
      <c r="F52" s="245">
        <v>1071.81</v>
      </c>
      <c r="G52" s="245">
        <v>10892</v>
      </c>
      <c r="H52" s="245">
        <v>10557.04</v>
      </c>
      <c r="I52" s="250">
        <v>3374.17</v>
      </c>
      <c r="J52" s="244" t="s">
        <v>952</v>
      </c>
    </row>
    <row r="53" spans="1:10">
      <c r="A53" s="221" t="str">
        <f t="shared" si="1"/>
        <v>112</v>
      </c>
      <c r="B53" s="215">
        <v>1121900000</v>
      </c>
      <c r="C53" s="244" t="s">
        <v>1274</v>
      </c>
      <c r="D53" s="245">
        <v>411.61</v>
      </c>
      <c r="E53" s="245">
        <v>0</v>
      </c>
      <c r="F53" s="245">
        <v>0</v>
      </c>
      <c r="G53" s="245">
        <v>0</v>
      </c>
      <c r="H53" s="245">
        <v>0</v>
      </c>
      <c r="I53" s="250">
        <v>411.61</v>
      </c>
      <c r="J53" s="244" t="s">
        <v>953</v>
      </c>
    </row>
    <row r="54" spans="1:10">
      <c r="A54" s="221" t="str">
        <f t="shared" si="1"/>
        <v>119</v>
      </c>
      <c r="B54" s="215">
        <v>1190000000</v>
      </c>
      <c r="C54" s="244" t="s">
        <v>1275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50">
        <v>0</v>
      </c>
      <c r="J54" s="244" t="s">
        <v>559</v>
      </c>
    </row>
    <row r="55" spans="1:10">
      <c r="A55" s="221" t="str">
        <f t="shared" si="1"/>
        <v>119</v>
      </c>
      <c r="B55" s="215">
        <v>1191000000</v>
      </c>
      <c r="C55" s="244" t="s">
        <v>1276</v>
      </c>
      <c r="D55" s="245">
        <v>0</v>
      </c>
      <c r="E55" s="245">
        <v>110.24</v>
      </c>
      <c r="F55" s="245">
        <v>15.42</v>
      </c>
      <c r="G55" s="245">
        <v>185.42</v>
      </c>
      <c r="H55" s="245">
        <v>15.42</v>
      </c>
      <c r="I55" s="250">
        <v>170</v>
      </c>
      <c r="J55" s="244" t="s">
        <v>954</v>
      </c>
    </row>
    <row r="56" spans="1:10">
      <c r="A56" s="221" t="str">
        <f t="shared" si="1"/>
        <v>132</v>
      </c>
      <c r="B56" s="215">
        <v>1321000000</v>
      </c>
      <c r="C56" s="244" t="s">
        <v>1277</v>
      </c>
      <c r="D56" s="245">
        <v>24973.45</v>
      </c>
      <c r="E56" s="245">
        <v>0</v>
      </c>
      <c r="F56" s="245">
        <v>0</v>
      </c>
      <c r="G56" s="245">
        <v>47704.36</v>
      </c>
      <c r="H56" s="245">
        <v>72677.81</v>
      </c>
      <c r="I56" s="250">
        <v>0</v>
      </c>
      <c r="J56" s="244" t="s">
        <v>955</v>
      </c>
    </row>
    <row r="57" spans="1:10">
      <c r="A57" s="221" t="str">
        <f t="shared" si="1"/>
        <v>211</v>
      </c>
      <c r="B57" s="215">
        <v>2111000000</v>
      </c>
      <c r="C57" s="244" t="s">
        <v>1278</v>
      </c>
      <c r="D57" s="245">
        <v>7950.94</v>
      </c>
      <c r="E57" s="245">
        <v>11185.86</v>
      </c>
      <c r="F57" s="245">
        <v>11488.27</v>
      </c>
      <c r="G57" s="245">
        <v>133793.67000000001</v>
      </c>
      <c r="H57" s="245">
        <v>135786.12</v>
      </c>
      <c r="I57" s="250">
        <v>5958.49</v>
      </c>
      <c r="J57" s="244" t="s">
        <v>956</v>
      </c>
    </row>
    <row r="58" spans="1:10">
      <c r="A58" s="221" t="str">
        <f t="shared" si="1"/>
        <v>213</v>
      </c>
      <c r="B58" s="215">
        <v>2131000000</v>
      </c>
      <c r="C58" s="244" t="s">
        <v>1279</v>
      </c>
      <c r="D58" s="245">
        <v>20.51</v>
      </c>
      <c r="E58" s="245">
        <v>0</v>
      </c>
      <c r="F58" s="245">
        <v>0</v>
      </c>
      <c r="G58" s="245">
        <v>0</v>
      </c>
      <c r="H58" s="245">
        <v>20.51</v>
      </c>
      <c r="I58" s="250">
        <v>0</v>
      </c>
      <c r="J58" s="244" t="s">
        <v>957</v>
      </c>
    </row>
    <row r="59" spans="1:10">
      <c r="A59" s="221" t="str">
        <f t="shared" si="1"/>
        <v>213</v>
      </c>
      <c r="B59" s="215">
        <v>2132000000</v>
      </c>
      <c r="C59" s="244" t="s">
        <v>1280</v>
      </c>
      <c r="D59" s="245">
        <v>626</v>
      </c>
      <c r="E59" s="245">
        <v>0</v>
      </c>
      <c r="F59" s="245">
        <v>125</v>
      </c>
      <c r="G59" s="245">
        <v>6550</v>
      </c>
      <c r="H59" s="245">
        <v>6768</v>
      </c>
      <c r="I59" s="250">
        <v>408</v>
      </c>
      <c r="J59" s="244" t="s">
        <v>958</v>
      </c>
    </row>
    <row r="60" spans="1:10">
      <c r="A60" s="221" t="str">
        <f t="shared" si="1"/>
        <v>213</v>
      </c>
      <c r="B60" s="215">
        <v>2133000000</v>
      </c>
      <c r="C60" s="244" t="s">
        <v>1281</v>
      </c>
      <c r="D60" s="245">
        <v>19.920000000000002</v>
      </c>
      <c r="E60" s="245">
        <v>0</v>
      </c>
      <c r="F60" s="245">
        <v>0</v>
      </c>
      <c r="G60" s="245">
        <v>0</v>
      </c>
      <c r="H60" s="245">
        <v>19.920000000000002</v>
      </c>
      <c r="I60" s="250">
        <v>0</v>
      </c>
      <c r="J60" s="244" t="s">
        <v>959</v>
      </c>
    </row>
    <row r="61" spans="1:10">
      <c r="A61" s="221" t="str">
        <f t="shared" si="1"/>
        <v>213</v>
      </c>
      <c r="B61" s="215">
        <v>2135000000</v>
      </c>
      <c r="C61" s="244" t="s">
        <v>1282</v>
      </c>
      <c r="D61" s="245">
        <v>44.81</v>
      </c>
      <c r="E61" s="245">
        <v>0</v>
      </c>
      <c r="F61" s="245">
        <v>0</v>
      </c>
      <c r="G61" s="245">
        <v>0</v>
      </c>
      <c r="H61" s="245">
        <v>44.81</v>
      </c>
      <c r="I61" s="250">
        <v>0</v>
      </c>
      <c r="J61" s="244" t="s">
        <v>960</v>
      </c>
    </row>
    <row r="62" spans="1:10">
      <c r="A62" s="221" t="str">
        <f t="shared" si="1"/>
        <v>213</v>
      </c>
      <c r="B62" s="215">
        <v>2136000000</v>
      </c>
      <c r="C62" s="244" t="s">
        <v>1283</v>
      </c>
      <c r="D62" s="245">
        <v>50</v>
      </c>
      <c r="E62" s="245">
        <v>0</v>
      </c>
      <c r="F62" s="245">
        <v>0</v>
      </c>
      <c r="G62" s="245">
        <v>0</v>
      </c>
      <c r="H62" s="245">
        <v>50</v>
      </c>
      <c r="I62" s="250">
        <v>0</v>
      </c>
      <c r="J62" s="244" t="s">
        <v>961</v>
      </c>
    </row>
    <row r="63" spans="1:10">
      <c r="A63" s="221" t="str">
        <f t="shared" si="1"/>
        <v>221</v>
      </c>
      <c r="B63" s="215">
        <v>2211000000</v>
      </c>
      <c r="C63" s="244" t="s">
        <v>1284</v>
      </c>
      <c r="D63" s="245">
        <v>203348.47</v>
      </c>
      <c r="E63" s="245">
        <v>0</v>
      </c>
      <c r="F63" s="245">
        <v>0</v>
      </c>
      <c r="G63" s="245">
        <v>2123388.16</v>
      </c>
      <c r="H63" s="245">
        <v>2326736.63</v>
      </c>
      <c r="I63" s="250">
        <v>0</v>
      </c>
      <c r="J63" s="244" t="s">
        <v>962</v>
      </c>
    </row>
    <row r="64" spans="1:10">
      <c r="A64" s="221" t="str">
        <f t="shared" si="1"/>
        <v>221</v>
      </c>
      <c r="B64" s="215">
        <v>2212000000</v>
      </c>
      <c r="C64" s="244" t="s">
        <v>1285</v>
      </c>
      <c r="D64" s="245">
        <v>1393.91</v>
      </c>
      <c r="E64" s="245">
        <v>1000</v>
      </c>
      <c r="F64" s="245">
        <v>330.2</v>
      </c>
      <c r="G64" s="245">
        <v>1324827.3</v>
      </c>
      <c r="H64" s="245">
        <v>1324891.55</v>
      </c>
      <c r="I64" s="250">
        <v>1329.66</v>
      </c>
      <c r="J64" s="244" t="s">
        <v>963</v>
      </c>
    </row>
    <row r="65" spans="1:10">
      <c r="A65" s="221" t="str">
        <f t="shared" si="1"/>
        <v>221</v>
      </c>
      <c r="B65" s="215">
        <v>2213000000</v>
      </c>
      <c r="C65" s="244" t="s">
        <v>1286</v>
      </c>
      <c r="D65" s="245">
        <v>0</v>
      </c>
      <c r="E65" s="245">
        <v>956757.39</v>
      </c>
      <c r="F65" s="245">
        <v>956757.39</v>
      </c>
      <c r="G65" s="245">
        <v>8579867.9299999997</v>
      </c>
      <c r="H65" s="245">
        <v>8579867.9299999997</v>
      </c>
      <c r="I65" s="250">
        <v>0</v>
      </c>
      <c r="J65" s="244" t="s">
        <v>964</v>
      </c>
    </row>
    <row r="66" spans="1:10">
      <c r="A66" s="221" t="str">
        <f t="shared" si="1"/>
        <v>221</v>
      </c>
      <c r="B66" s="215">
        <v>2218000000</v>
      </c>
      <c r="C66" s="244" t="s">
        <v>1287</v>
      </c>
      <c r="D66" s="245">
        <v>3404.09</v>
      </c>
      <c r="E66" s="245">
        <v>0.03</v>
      </c>
      <c r="F66" s="245">
        <v>4.25</v>
      </c>
      <c r="G66" s="245">
        <v>0.36</v>
      </c>
      <c r="H66" s="245">
        <v>47.5</v>
      </c>
      <c r="I66" s="250">
        <v>3356.95</v>
      </c>
      <c r="J66" s="244" t="s">
        <v>965</v>
      </c>
    </row>
    <row r="67" spans="1:10">
      <c r="A67" s="221" t="str">
        <f t="shared" si="1"/>
        <v>221</v>
      </c>
      <c r="B67" s="215">
        <v>2219000000</v>
      </c>
      <c r="C67" s="244" t="s">
        <v>1288</v>
      </c>
      <c r="D67" s="245">
        <v>3534.29</v>
      </c>
      <c r="E67" s="245">
        <v>0</v>
      </c>
      <c r="F67" s="245">
        <v>4.25</v>
      </c>
      <c r="G67" s="245">
        <v>0</v>
      </c>
      <c r="H67" s="245">
        <v>67.91</v>
      </c>
      <c r="I67" s="250">
        <v>3466.38</v>
      </c>
      <c r="J67" s="244" t="s">
        <v>966</v>
      </c>
    </row>
    <row r="68" spans="1:10">
      <c r="A68" s="221" t="str">
        <f t="shared" si="1"/>
        <v>231</v>
      </c>
      <c r="B68" s="215">
        <v>2311000000</v>
      </c>
      <c r="C68" s="244" t="s">
        <v>1289</v>
      </c>
      <c r="D68" s="245">
        <v>-407529.32</v>
      </c>
      <c r="E68" s="245">
        <v>0</v>
      </c>
      <c r="F68" s="245">
        <v>0</v>
      </c>
      <c r="G68" s="245">
        <v>1727356.23</v>
      </c>
      <c r="H68" s="245">
        <v>1319826.9099999999</v>
      </c>
      <c r="I68" s="250">
        <v>0</v>
      </c>
      <c r="J68" s="244" t="s">
        <v>967</v>
      </c>
    </row>
    <row r="69" spans="1:10">
      <c r="A69" s="221" t="str">
        <f t="shared" si="1"/>
        <v>249</v>
      </c>
      <c r="B69" s="215">
        <v>2491000000</v>
      </c>
      <c r="C69" s="244" t="s">
        <v>1290</v>
      </c>
      <c r="D69" s="245">
        <v>0</v>
      </c>
      <c r="E69" s="245">
        <v>0</v>
      </c>
      <c r="F69" s="245">
        <v>0</v>
      </c>
      <c r="G69" s="245">
        <v>300000</v>
      </c>
      <c r="H69" s="245">
        <v>300000</v>
      </c>
      <c r="I69" s="250">
        <v>0</v>
      </c>
      <c r="J69" s="244" t="s">
        <v>968</v>
      </c>
    </row>
    <row r="70" spans="1:10">
      <c r="A70" s="221" t="str">
        <f t="shared" si="1"/>
        <v>249</v>
      </c>
      <c r="B70" s="215">
        <v>2492000000</v>
      </c>
      <c r="C70" s="244" t="s">
        <v>1291</v>
      </c>
      <c r="D70" s="245">
        <v>-92200</v>
      </c>
      <c r="E70" s="245">
        <v>0</v>
      </c>
      <c r="F70" s="245">
        <v>0</v>
      </c>
      <c r="G70" s="245">
        <v>0</v>
      </c>
      <c r="H70" s="245">
        <v>0</v>
      </c>
      <c r="I70" s="250">
        <v>-92200</v>
      </c>
      <c r="J70" s="244" t="s">
        <v>969</v>
      </c>
    </row>
    <row r="71" spans="1:10">
      <c r="A71" s="221" t="str">
        <f t="shared" si="1"/>
        <v>249</v>
      </c>
      <c r="B71" s="215">
        <v>2493000000</v>
      </c>
      <c r="C71" s="244" t="s">
        <v>1292</v>
      </c>
      <c r="D71" s="245">
        <v>-20747.75</v>
      </c>
      <c r="E71" s="245">
        <v>0</v>
      </c>
      <c r="F71" s="245">
        <v>-227.57</v>
      </c>
      <c r="G71" s="245">
        <v>0</v>
      </c>
      <c r="H71" s="245">
        <v>17859.25</v>
      </c>
      <c r="I71" s="250">
        <v>-38607</v>
      </c>
      <c r="J71" s="244" t="s">
        <v>970</v>
      </c>
    </row>
    <row r="72" spans="1:10">
      <c r="A72" s="221" t="str">
        <f t="shared" si="1"/>
        <v>249</v>
      </c>
      <c r="B72" s="215">
        <v>2494000000</v>
      </c>
      <c r="C72" s="244" t="s">
        <v>1293</v>
      </c>
      <c r="D72" s="245">
        <v>-185532.47</v>
      </c>
      <c r="E72" s="245">
        <v>0</v>
      </c>
      <c r="F72" s="245">
        <v>0</v>
      </c>
      <c r="G72" s="245">
        <v>0</v>
      </c>
      <c r="H72" s="245">
        <v>0</v>
      </c>
      <c r="I72" s="250">
        <v>-185532.47</v>
      </c>
      <c r="J72" s="244" t="s">
        <v>971</v>
      </c>
    </row>
    <row r="73" spans="1:10">
      <c r="A73" s="221" t="str">
        <f t="shared" si="1"/>
        <v>249</v>
      </c>
      <c r="B73" s="215">
        <v>2495000000</v>
      </c>
      <c r="C73" s="244" t="s">
        <v>1294</v>
      </c>
      <c r="D73" s="245">
        <v>0</v>
      </c>
      <c r="E73" s="245">
        <v>0</v>
      </c>
      <c r="F73" s="245">
        <v>0</v>
      </c>
      <c r="G73" s="245">
        <v>1273.97</v>
      </c>
      <c r="H73" s="245">
        <v>1273.97</v>
      </c>
      <c r="I73" s="250">
        <v>0</v>
      </c>
      <c r="J73" s="244" t="s">
        <v>972</v>
      </c>
    </row>
    <row r="74" spans="1:10">
      <c r="A74" s="221" t="str">
        <f t="shared" si="1"/>
        <v>261</v>
      </c>
      <c r="B74" s="215">
        <v>2610000000</v>
      </c>
      <c r="C74" s="244" t="s">
        <v>1295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50">
        <v>0</v>
      </c>
      <c r="J74" s="244" t="s">
        <v>606</v>
      </c>
    </row>
    <row r="75" spans="1:10">
      <c r="A75" s="221" t="str">
        <f t="shared" si="1"/>
        <v>261</v>
      </c>
      <c r="B75" s="215">
        <v>2611000000</v>
      </c>
      <c r="C75" s="244" t="s">
        <v>1296</v>
      </c>
      <c r="D75" s="245">
        <v>0</v>
      </c>
      <c r="E75" s="245">
        <v>9075.2999999999993</v>
      </c>
      <c r="F75" s="245">
        <v>9075.2999999999993</v>
      </c>
      <c r="G75" s="245">
        <v>87069.42</v>
      </c>
      <c r="H75" s="245">
        <v>87069.42</v>
      </c>
      <c r="I75" s="250">
        <v>0</v>
      </c>
      <c r="J75" s="244" t="s">
        <v>973</v>
      </c>
    </row>
    <row r="76" spans="1:10">
      <c r="A76" s="221" t="str">
        <f t="shared" si="1"/>
        <v>261</v>
      </c>
      <c r="B76" s="215">
        <v>2612000000</v>
      </c>
      <c r="C76" s="244" t="s">
        <v>1297</v>
      </c>
      <c r="D76" s="245">
        <v>0</v>
      </c>
      <c r="E76" s="245">
        <v>1000</v>
      </c>
      <c r="F76" s="245">
        <v>1000</v>
      </c>
      <c r="G76" s="245">
        <v>2814122.15</v>
      </c>
      <c r="H76" s="245">
        <v>2814122.15</v>
      </c>
      <c r="I76" s="250">
        <v>0</v>
      </c>
      <c r="J76" s="244" t="s">
        <v>974</v>
      </c>
    </row>
    <row r="77" spans="1:10">
      <c r="A77" s="221" t="str">
        <f t="shared" si="1"/>
        <v>311</v>
      </c>
      <c r="B77" s="215">
        <v>3111000000</v>
      </c>
      <c r="C77" s="244" t="s">
        <v>1298</v>
      </c>
      <c r="D77" s="245">
        <v>852251.5</v>
      </c>
      <c r="E77" s="245">
        <v>463893.09</v>
      </c>
      <c r="F77" s="245">
        <v>366113.53</v>
      </c>
      <c r="G77" s="245">
        <v>5588900.3799999999</v>
      </c>
      <c r="H77" s="245">
        <v>5505398.04</v>
      </c>
      <c r="I77" s="250">
        <v>935753.84</v>
      </c>
      <c r="J77" s="244" t="s">
        <v>975</v>
      </c>
    </row>
    <row r="78" spans="1:10">
      <c r="A78" s="221" t="str">
        <f t="shared" si="1"/>
        <v>311</v>
      </c>
      <c r="B78" s="215">
        <v>3111100000</v>
      </c>
      <c r="C78" s="244" t="s">
        <v>1299</v>
      </c>
      <c r="D78" s="245">
        <v>-21557.58</v>
      </c>
      <c r="E78" s="245">
        <v>50646.29</v>
      </c>
      <c r="F78" s="245">
        <v>0</v>
      </c>
      <c r="G78" s="245">
        <v>50626.76</v>
      </c>
      <c r="H78" s="245">
        <v>-21577.11</v>
      </c>
      <c r="I78" s="250">
        <v>50646.29</v>
      </c>
      <c r="J78" s="244" t="s">
        <v>976</v>
      </c>
    </row>
    <row r="79" spans="1:10">
      <c r="A79" s="221" t="str">
        <f t="shared" si="1"/>
        <v>311</v>
      </c>
      <c r="B79" s="215">
        <v>3112000000</v>
      </c>
      <c r="C79" s="244" t="s">
        <v>1300</v>
      </c>
      <c r="D79" s="245">
        <v>92713.4</v>
      </c>
      <c r="E79" s="245">
        <v>22952.91</v>
      </c>
      <c r="F79" s="245">
        <v>25008.02</v>
      </c>
      <c r="G79" s="245">
        <v>244342.91</v>
      </c>
      <c r="H79" s="245">
        <v>300726.5</v>
      </c>
      <c r="I79" s="250">
        <v>36329.81</v>
      </c>
      <c r="J79" s="244" t="s">
        <v>977</v>
      </c>
    </row>
    <row r="80" spans="1:10">
      <c r="A80" s="221" t="str">
        <f t="shared" si="1"/>
        <v>311</v>
      </c>
      <c r="B80" s="215">
        <v>3115200000</v>
      </c>
      <c r="C80" s="244" t="s">
        <v>1301</v>
      </c>
      <c r="D80" s="245">
        <v>7516.5</v>
      </c>
      <c r="E80" s="245">
        <v>22.85</v>
      </c>
      <c r="F80" s="245">
        <v>0</v>
      </c>
      <c r="G80" s="245">
        <v>42123.87</v>
      </c>
      <c r="H80" s="245">
        <v>48377.09</v>
      </c>
      <c r="I80" s="250">
        <v>1263.28</v>
      </c>
      <c r="J80" s="244" t="s">
        <v>978</v>
      </c>
    </row>
    <row r="81" spans="1:10">
      <c r="A81" s="221" t="str">
        <f t="shared" si="1"/>
        <v>311</v>
      </c>
      <c r="B81" s="215">
        <v>3115300000</v>
      </c>
      <c r="C81" s="244" t="s">
        <v>1302</v>
      </c>
      <c r="D81" s="245">
        <v>633.67999999999995</v>
      </c>
      <c r="E81" s="245">
        <v>665</v>
      </c>
      <c r="F81" s="245">
        <v>5023.68</v>
      </c>
      <c r="G81" s="245">
        <v>16503.490000000002</v>
      </c>
      <c r="H81" s="245">
        <v>16443.97</v>
      </c>
      <c r="I81" s="250">
        <v>693.2</v>
      </c>
      <c r="J81" s="244" t="s">
        <v>979</v>
      </c>
    </row>
    <row r="82" spans="1:10">
      <c r="A82" s="221" t="str">
        <f t="shared" si="1"/>
        <v>311</v>
      </c>
      <c r="B82" s="215">
        <v>3115400000</v>
      </c>
      <c r="C82" s="244" t="s">
        <v>1303</v>
      </c>
      <c r="D82" s="245">
        <v>36048.61</v>
      </c>
      <c r="E82" s="245">
        <v>0</v>
      </c>
      <c r="F82" s="245">
        <v>0</v>
      </c>
      <c r="G82" s="245">
        <v>52931.519999999997</v>
      </c>
      <c r="H82" s="245">
        <v>88980.13</v>
      </c>
      <c r="I82" s="250">
        <v>0</v>
      </c>
      <c r="J82" s="244" t="s">
        <v>980</v>
      </c>
    </row>
    <row r="83" spans="1:10">
      <c r="A83" s="221" t="str">
        <f t="shared" si="1"/>
        <v>311</v>
      </c>
      <c r="B83" s="215">
        <v>3115500000</v>
      </c>
      <c r="C83" s="244" t="s">
        <v>1304</v>
      </c>
      <c r="D83" s="245">
        <v>963.2</v>
      </c>
      <c r="E83" s="245">
        <v>12034.68</v>
      </c>
      <c r="F83" s="245">
        <v>3289.02</v>
      </c>
      <c r="G83" s="245">
        <v>103349.71</v>
      </c>
      <c r="H83" s="245">
        <v>91261.24</v>
      </c>
      <c r="I83" s="250">
        <v>13051.67</v>
      </c>
      <c r="J83" s="244" t="s">
        <v>981</v>
      </c>
    </row>
    <row r="84" spans="1:10">
      <c r="A84" s="221" t="str">
        <f t="shared" si="1"/>
        <v>311</v>
      </c>
      <c r="B84" s="215">
        <v>3115600000</v>
      </c>
      <c r="C84" s="244" t="s">
        <v>1305</v>
      </c>
      <c r="D84" s="245">
        <v>983.22</v>
      </c>
      <c r="E84" s="245">
        <v>0</v>
      </c>
      <c r="F84" s="245">
        <v>0</v>
      </c>
      <c r="G84" s="245">
        <v>0</v>
      </c>
      <c r="H84" s="245">
        <v>0</v>
      </c>
      <c r="I84" s="250">
        <v>983.22</v>
      </c>
      <c r="J84" s="244" t="s">
        <v>982</v>
      </c>
    </row>
    <row r="85" spans="1:10">
      <c r="A85" s="221" t="str">
        <f t="shared" si="1"/>
        <v>314</v>
      </c>
      <c r="B85" s="215">
        <v>3141000000</v>
      </c>
      <c r="C85" s="244" t="s">
        <v>1306</v>
      </c>
      <c r="D85" s="245">
        <v>0</v>
      </c>
      <c r="E85" s="245">
        <v>0</v>
      </c>
      <c r="F85" s="245">
        <v>0</v>
      </c>
      <c r="G85" s="245">
        <v>0</v>
      </c>
      <c r="H85" s="245">
        <v>0</v>
      </c>
      <c r="I85" s="250">
        <v>0</v>
      </c>
      <c r="J85" s="244" t="s">
        <v>983</v>
      </c>
    </row>
    <row r="86" spans="1:10">
      <c r="A86" s="221" t="str">
        <f t="shared" si="1"/>
        <v>314</v>
      </c>
      <c r="B86" s="215">
        <v>3142000000</v>
      </c>
      <c r="C86" s="244" t="s">
        <v>1307</v>
      </c>
      <c r="D86" s="245">
        <v>199.16</v>
      </c>
      <c r="E86" s="245">
        <v>0</v>
      </c>
      <c r="F86" s="245">
        <v>0</v>
      </c>
      <c r="G86" s="245">
        <v>0</v>
      </c>
      <c r="H86" s="245">
        <v>0</v>
      </c>
      <c r="I86" s="250">
        <v>199.16</v>
      </c>
      <c r="J86" s="244" t="s">
        <v>984</v>
      </c>
    </row>
    <row r="87" spans="1:10">
      <c r="A87" s="221" t="str">
        <f t="shared" si="1"/>
        <v>314</v>
      </c>
      <c r="B87" s="215">
        <v>3143000000</v>
      </c>
      <c r="C87" s="244" t="s">
        <v>1308</v>
      </c>
      <c r="D87" s="245">
        <v>0</v>
      </c>
      <c r="E87" s="245">
        <v>20736.39</v>
      </c>
      <c r="F87" s="245">
        <v>20736.39</v>
      </c>
      <c r="G87" s="245">
        <v>240520.02</v>
      </c>
      <c r="H87" s="245">
        <v>240520.02</v>
      </c>
      <c r="I87" s="250">
        <v>0</v>
      </c>
      <c r="J87" s="244" t="s">
        <v>985</v>
      </c>
    </row>
    <row r="88" spans="1:10">
      <c r="A88" s="221" t="str">
        <f t="shared" si="1"/>
        <v>315</v>
      </c>
      <c r="B88" s="215">
        <v>3151000000</v>
      </c>
      <c r="C88" s="244" t="s">
        <v>1309</v>
      </c>
      <c r="D88" s="245">
        <v>1621.85</v>
      </c>
      <c r="E88" s="245">
        <v>0</v>
      </c>
      <c r="F88" s="245">
        <v>0</v>
      </c>
      <c r="G88" s="245">
        <v>19674.55</v>
      </c>
      <c r="H88" s="245">
        <v>21296.400000000001</v>
      </c>
      <c r="I88" s="250">
        <v>0</v>
      </c>
      <c r="J88" s="244" t="s">
        <v>986</v>
      </c>
    </row>
    <row r="89" spans="1:10">
      <c r="A89" s="221" t="str">
        <f t="shared" si="1"/>
        <v>315</v>
      </c>
      <c r="B89" s="215">
        <v>3152000000</v>
      </c>
      <c r="C89" s="244" t="s">
        <v>1310</v>
      </c>
      <c r="D89" s="245">
        <v>0</v>
      </c>
      <c r="E89" s="245">
        <v>701</v>
      </c>
      <c r="F89" s="245">
        <v>701</v>
      </c>
      <c r="G89" s="245">
        <v>8441</v>
      </c>
      <c r="H89" s="245">
        <v>8441</v>
      </c>
      <c r="I89" s="250">
        <v>0</v>
      </c>
      <c r="J89" s="244" t="s">
        <v>987</v>
      </c>
    </row>
    <row r="90" spans="1:10">
      <c r="A90" s="221" t="str">
        <f t="shared" si="1"/>
        <v>315</v>
      </c>
      <c r="B90" s="215">
        <v>3153000000</v>
      </c>
      <c r="C90" s="244" t="s">
        <v>1311</v>
      </c>
      <c r="D90" s="245">
        <v>0</v>
      </c>
      <c r="E90" s="245">
        <v>0</v>
      </c>
      <c r="F90" s="245">
        <v>0</v>
      </c>
      <c r="G90" s="245">
        <v>850</v>
      </c>
      <c r="H90" s="245">
        <v>850</v>
      </c>
      <c r="I90" s="250">
        <v>0</v>
      </c>
      <c r="J90" s="244" t="s">
        <v>988</v>
      </c>
    </row>
    <row r="91" spans="1:10">
      <c r="A91" s="221" t="str">
        <f t="shared" si="1"/>
        <v>315</v>
      </c>
      <c r="B91" s="215">
        <v>3154000000</v>
      </c>
      <c r="C91" s="244" t="s">
        <v>1312</v>
      </c>
      <c r="D91" s="245">
        <v>0</v>
      </c>
      <c r="E91" s="245">
        <v>0</v>
      </c>
      <c r="F91" s="245">
        <v>0</v>
      </c>
      <c r="G91" s="245">
        <v>0</v>
      </c>
      <c r="H91" s="245">
        <v>0</v>
      </c>
      <c r="I91" s="250">
        <v>0</v>
      </c>
      <c r="J91" s="244" t="s">
        <v>1205</v>
      </c>
    </row>
    <row r="92" spans="1:10">
      <c r="A92" s="221" t="str">
        <f t="shared" si="1"/>
        <v>321</v>
      </c>
      <c r="B92" s="215">
        <v>3211000000</v>
      </c>
      <c r="C92" s="244" t="s">
        <v>1313</v>
      </c>
      <c r="D92" s="245">
        <v>-641155.61</v>
      </c>
      <c r="E92" s="245">
        <v>196528.67</v>
      </c>
      <c r="F92" s="245">
        <v>515383.08</v>
      </c>
      <c r="G92" s="245">
        <v>2606004.86</v>
      </c>
      <c r="H92" s="245">
        <v>2530651.7799999998</v>
      </c>
      <c r="I92" s="250">
        <v>-565802.53</v>
      </c>
      <c r="J92" s="244" t="s">
        <v>989</v>
      </c>
    </row>
    <row r="93" spans="1:10">
      <c r="A93" s="221" t="str">
        <f t="shared" si="1"/>
        <v>321</v>
      </c>
      <c r="B93" s="215">
        <v>3212000000</v>
      </c>
      <c r="C93" s="244" t="s">
        <v>1314</v>
      </c>
      <c r="D93" s="245">
        <v>-995</v>
      </c>
      <c r="E93" s="245">
        <v>831.12</v>
      </c>
      <c r="F93" s="245">
        <v>0</v>
      </c>
      <c r="G93" s="245">
        <v>3867.09</v>
      </c>
      <c r="H93" s="245">
        <v>2872.09</v>
      </c>
      <c r="I93" s="250">
        <v>0</v>
      </c>
      <c r="J93" s="244" t="s">
        <v>990</v>
      </c>
    </row>
    <row r="94" spans="1:10">
      <c r="A94" s="221" t="str">
        <f t="shared" si="1"/>
        <v>321</v>
      </c>
      <c r="B94" s="215">
        <v>3213000000</v>
      </c>
      <c r="C94" s="244" t="s">
        <v>1315</v>
      </c>
      <c r="D94" s="245">
        <v>-56000</v>
      </c>
      <c r="E94" s="245">
        <v>0</v>
      </c>
      <c r="F94" s="245">
        <v>0</v>
      </c>
      <c r="G94" s="245">
        <v>56000</v>
      </c>
      <c r="H94" s="245">
        <v>0</v>
      </c>
      <c r="I94" s="250">
        <v>0</v>
      </c>
      <c r="J94" s="244" t="s">
        <v>991</v>
      </c>
    </row>
    <row r="95" spans="1:10">
      <c r="A95" s="221" t="str">
        <f t="shared" si="1"/>
        <v>323</v>
      </c>
      <c r="B95" s="215">
        <v>3231000000</v>
      </c>
      <c r="C95" s="244" t="s">
        <v>1316</v>
      </c>
      <c r="D95" s="245">
        <v>-72236.84</v>
      </c>
      <c r="E95" s="245">
        <v>0</v>
      </c>
      <c r="F95" s="245">
        <v>17447.66</v>
      </c>
      <c r="G95" s="245">
        <v>12936.47</v>
      </c>
      <c r="H95" s="245">
        <v>17447.66</v>
      </c>
      <c r="I95" s="250">
        <v>-76748.03</v>
      </c>
      <c r="J95" s="244" t="s">
        <v>992</v>
      </c>
    </row>
    <row r="96" spans="1:10">
      <c r="A96" s="221" t="str">
        <f t="shared" si="1"/>
        <v>323</v>
      </c>
      <c r="B96" s="215">
        <v>3233000000</v>
      </c>
      <c r="C96" s="244" t="s">
        <v>1317</v>
      </c>
      <c r="D96" s="245">
        <v>-40668.5</v>
      </c>
      <c r="E96" s="245">
        <v>0</v>
      </c>
      <c r="F96" s="245">
        <v>14448.51</v>
      </c>
      <c r="G96" s="245">
        <v>10710.01</v>
      </c>
      <c r="H96" s="245">
        <v>-5020.49</v>
      </c>
      <c r="I96" s="250">
        <v>-24938</v>
      </c>
      <c r="J96" s="244" t="s">
        <v>993</v>
      </c>
    </row>
    <row r="97" spans="1:10">
      <c r="A97" s="221" t="str">
        <f t="shared" si="1"/>
        <v>324</v>
      </c>
      <c r="B97" s="215">
        <v>3243000000</v>
      </c>
      <c r="C97" s="244" t="s">
        <v>1318</v>
      </c>
      <c r="D97" s="245">
        <v>-28044.03</v>
      </c>
      <c r="E97" s="245">
        <v>4744.96</v>
      </c>
      <c r="F97" s="245">
        <v>0</v>
      </c>
      <c r="G97" s="245">
        <v>227181.77</v>
      </c>
      <c r="H97" s="245">
        <v>199137.74</v>
      </c>
      <c r="I97" s="250">
        <v>0</v>
      </c>
      <c r="J97" s="244" t="s">
        <v>994</v>
      </c>
    </row>
    <row r="98" spans="1:10">
      <c r="A98" s="221" t="str">
        <f t="shared" si="1"/>
        <v>326</v>
      </c>
      <c r="B98" s="215">
        <v>3261000000</v>
      </c>
      <c r="C98" s="244" t="s">
        <v>1319</v>
      </c>
      <c r="D98" s="245">
        <v>-10331.6</v>
      </c>
      <c r="E98" s="245">
        <v>216000</v>
      </c>
      <c r="F98" s="245">
        <v>18382.3</v>
      </c>
      <c r="G98" s="245">
        <v>265019.84000000003</v>
      </c>
      <c r="H98" s="245">
        <v>255051.34</v>
      </c>
      <c r="I98" s="250">
        <v>-363.1</v>
      </c>
      <c r="J98" s="244" t="s">
        <v>995</v>
      </c>
    </row>
    <row r="99" spans="1:10">
      <c r="A99" s="221" t="str">
        <f t="shared" ref="A99:A162" si="2">LEFT(B99,3)</f>
        <v>326</v>
      </c>
      <c r="B99" s="215">
        <v>3262000000</v>
      </c>
      <c r="C99" s="244" t="s">
        <v>1320</v>
      </c>
      <c r="D99" s="245">
        <v>0</v>
      </c>
      <c r="E99" s="245">
        <v>0</v>
      </c>
      <c r="F99" s="245">
        <v>0</v>
      </c>
      <c r="G99" s="245">
        <v>0</v>
      </c>
      <c r="H99" s="245">
        <v>0</v>
      </c>
      <c r="I99" s="250">
        <v>0</v>
      </c>
      <c r="J99" s="244" t="s">
        <v>1206</v>
      </c>
    </row>
    <row r="100" spans="1:10">
      <c r="A100" s="221" t="str">
        <f t="shared" si="2"/>
        <v>331</v>
      </c>
      <c r="B100" s="215">
        <v>3311000000</v>
      </c>
      <c r="C100" s="244" t="s">
        <v>1321</v>
      </c>
      <c r="D100" s="245">
        <v>-198657.28</v>
      </c>
      <c r="E100" s="245">
        <v>259926</v>
      </c>
      <c r="F100" s="245">
        <v>248010.98</v>
      </c>
      <c r="G100" s="245">
        <v>2996276.48</v>
      </c>
      <c r="H100" s="245">
        <v>2988296.27</v>
      </c>
      <c r="I100" s="250">
        <v>-190677.07</v>
      </c>
      <c r="J100" s="244" t="s">
        <v>996</v>
      </c>
    </row>
    <row r="101" spans="1:10">
      <c r="A101" s="221" t="str">
        <f t="shared" si="2"/>
        <v>335</v>
      </c>
      <c r="B101" s="215">
        <v>3351000000</v>
      </c>
      <c r="C101" s="244" t="s">
        <v>1322</v>
      </c>
      <c r="D101" s="245">
        <v>0</v>
      </c>
      <c r="E101" s="245">
        <v>0</v>
      </c>
      <c r="F101" s="245">
        <v>0</v>
      </c>
      <c r="G101" s="245">
        <v>0</v>
      </c>
      <c r="H101" s="245">
        <v>0</v>
      </c>
      <c r="I101" s="250">
        <v>0</v>
      </c>
      <c r="J101" s="244" t="s">
        <v>997</v>
      </c>
    </row>
    <row r="102" spans="1:10">
      <c r="A102" s="221" t="str">
        <f t="shared" si="2"/>
        <v>335</v>
      </c>
      <c r="B102" s="215">
        <v>3354000000</v>
      </c>
      <c r="C102" s="244" t="s">
        <v>1323</v>
      </c>
      <c r="D102" s="245">
        <v>0</v>
      </c>
      <c r="E102" s="245">
        <v>1601.62</v>
      </c>
      <c r="F102" s="245">
        <v>1024.19</v>
      </c>
      <c r="G102" s="245">
        <v>15344.42</v>
      </c>
      <c r="H102" s="245">
        <v>15344.42</v>
      </c>
      <c r="I102" s="250">
        <v>0</v>
      </c>
      <c r="J102" s="244" t="s">
        <v>998</v>
      </c>
    </row>
    <row r="103" spans="1:10">
      <c r="A103" s="221" t="str">
        <f t="shared" si="2"/>
        <v>335</v>
      </c>
      <c r="B103" s="215">
        <v>3354100000</v>
      </c>
      <c r="C103" s="244" t="s">
        <v>1324</v>
      </c>
      <c r="D103" s="245">
        <v>0</v>
      </c>
      <c r="E103" s="245">
        <v>103.4</v>
      </c>
      <c r="F103" s="245">
        <v>0</v>
      </c>
      <c r="G103" s="245">
        <v>385.4</v>
      </c>
      <c r="H103" s="245">
        <v>385.4</v>
      </c>
      <c r="I103" s="250">
        <v>0</v>
      </c>
      <c r="J103" s="244" t="s">
        <v>999</v>
      </c>
    </row>
    <row r="104" spans="1:10">
      <c r="A104" s="221" t="str">
        <f t="shared" si="2"/>
        <v>335</v>
      </c>
      <c r="B104" s="215">
        <v>3357000000</v>
      </c>
      <c r="C104" s="244" t="s">
        <v>1325</v>
      </c>
      <c r="D104" s="245">
        <v>0</v>
      </c>
      <c r="E104" s="245">
        <v>20</v>
      </c>
      <c r="F104" s="245">
        <v>20</v>
      </c>
      <c r="G104" s="245">
        <v>6663</v>
      </c>
      <c r="H104" s="245">
        <v>6663</v>
      </c>
      <c r="I104" s="250">
        <v>0</v>
      </c>
      <c r="J104" s="244" t="s">
        <v>1000</v>
      </c>
    </row>
    <row r="105" spans="1:10">
      <c r="A105" s="221" t="str">
        <f t="shared" si="2"/>
        <v>335</v>
      </c>
      <c r="B105" s="215">
        <v>3358000000</v>
      </c>
      <c r="C105" s="244" t="s">
        <v>1326</v>
      </c>
      <c r="D105" s="245">
        <v>0</v>
      </c>
      <c r="E105" s="245">
        <v>300</v>
      </c>
      <c r="F105" s="245">
        <v>300</v>
      </c>
      <c r="G105" s="245">
        <v>7090</v>
      </c>
      <c r="H105" s="245">
        <v>7090</v>
      </c>
      <c r="I105" s="250">
        <v>0</v>
      </c>
      <c r="J105" s="244" t="s">
        <v>1001</v>
      </c>
    </row>
    <row r="106" spans="1:10">
      <c r="A106" s="221" t="str">
        <f t="shared" si="2"/>
        <v>335</v>
      </c>
      <c r="B106" s="215">
        <v>3359000000</v>
      </c>
      <c r="C106" s="244" t="s">
        <v>1327</v>
      </c>
      <c r="D106" s="245">
        <v>0</v>
      </c>
      <c r="E106" s="245">
        <v>0</v>
      </c>
      <c r="F106" s="245">
        <v>0</v>
      </c>
      <c r="G106" s="245">
        <v>9242.77</v>
      </c>
      <c r="H106" s="245">
        <v>9242.77</v>
      </c>
      <c r="I106" s="250">
        <v>0</v>
      </c>
      <c r="J106" s="244" t="s">
        <v>1002</v>
      </c>
    </row>
    <row r="107" spans="1:10">
      <c r="A107" s="221" t="str">
        <f t="shared" si="2"/>
        <v>336</v>
      </c>
      <c r="B107" s="215">
        <v>3361000000</v>
      </c>
      <c r="C107" s="244" t="s">
        <v>1328</v>
      </c>
      <c r="D107" s="245">
        <v>-31800</v>
      </c>
      <c r="E107" s="245">
        <v>36187.339999999997</v>
      </c>
      <c r="F107" s="245">
        <v>33026.660000000003</v>
      </c>
      <c r="G107" s="245">
        <v>395754.7</v>
      </c>
      <c r="H107" s="245">
        <v>396771.61</v>
      </c>
      <c r="I107" s="250">
        <v>-32816.910000000003</v>
      </c>
      <c r="J107" s="244" t="s">
        <v>1003</v>
      </c>
    </row>
    <row r="108" spans="1:10">
      <c r="A108" s="221" t="str">
        <f t="shared" si="2"/>
        <v>336</v>
      </c>
      <c r="B108" s="215">
        <v>3366000000</v>
      </c>
      <c r="C108" s="244" t="s">
        <v>1329</v>
      </c>
      <c r="D108" s="245">
        <v>-80046.23</v>
      </c>
      <c r="E108" s="245">
        <v>90729.65</v>
      </c>
      <c r="F108" s="245">
        <v>83398</v>
      </c>
      <c r="G108" s="245">
        <v>986827.52</v>
      </c>
      <c r="H108" s="245">
        <v>989690.11</v>
      </c>
      <c r="I108" s="250">
        <v>-82908.820000000007</v>
      </c>
      <c r="J108" s="244" t="s">
        <v>1004</v>
      </c>
    </row>
    <row r="109" spans="1:10">
      <c r="A109" s="221" t="str">
        <f t="shared" si="2"/>
        <v>341</v>
      </c>
      <c r="B109" s="215">
        <v>3411000000</v>
      </c>
      <c r="C109" s="244" t="s">
        <v>1330</v>
      </c>
      <c r="D109" s="245">
        <v>0</v>
      </c>
      <c r="E109" s="245">
        <v>0</v>
      </c>
      <c r="F109" s="245">
        <v>27121.9</v>
      </c>
      <c r="G109" s="245">
        <v>0</v>
      </c>
      <c r="H109" s="245">
        <v>27121.9</v>
      </c>
      <c r="I109" s="250">
        <v>-27121.9</v>
      </c>
      <c r="J109" s="244" t="s">
        <v>1221</v>
      </c>
    </row>
    <row r="110" spans="1:10">
      <c r="A110" s="221" t="str">
        <f t="shared" si="2"/>
        <v>341</v>
      </c>
      <c r="B110" s="215">
        <v>3412000000</v>
      </c>
      <c r="C110" s="244" t="s">
        <v>1331</v>
      </c>
      <c r="D110" s="245">
        <v>6617.42</v>
      </c>
      <c r="E110" s="245">
        <v>0</v>
      </c>
      <c r="F110" s="245">
        <v>0</v>
      </c>
      <c r="G110" s="245">
        <v>0</v>
      </c>
      <c r="H110" s="245">
        <v>6617.42</v>
      </c>
      <c r="I110" s="250">
        <v>0</v>
      </c>
      <c r="J110" s="244" t="s">
        <v>1005</v>
      </c>
    </row>
    <row r="111" spans="1:10">
      <c r="A111" s="221" t="str">
        <f t="shared" si="2"/>
        <v>342</v>
      </c>
      <c r="B111" s="215">
        <v>3421000000</v>
      </c>
      <c r="C111" s="244" t="s">
        <v>1332</v>
      </c>
      <c r="D111" s="245">
        <v>-25895.31</v>
      </c>
      <c r="E111" s="245">
        <v>27392.42</v>
      </c>
      <c r="F111" s="245">
        <v>24406.19</v>
      </c>
      <c r="G111" s="245">
        <v>286026.59999999998</v>
      </c>
      <c r="H111" s="245">
        <v>284537.48</v>
      </c>
      <c r="I111" s="250">
        <v>-24406.19</v>
      </c>
      <c r="J111" s="244" t="s">
        <v>1006</v>
      </c>
    </row>
    <row r="112" spans="1:10">
      <c r="A112" s="221" t="str">
        <f t="shared" si="2"/>
        <v>342</v>
      </c>
      <c r="B112" s="215">
        <v>3423000000</v>
      </c>
      <c r="C112" s="244" t="s">
        <v>1333</v>
      </c>
      <c r="D112" s="245">
        <v>0</v>
      </c>
      <c r="E112" s="245">
        <v>0</v>
      </c>
      <c r="F112" s="245">
        <v>0</v>
      </c>
      <c r="G112" s="245">
        <v>0</v>
      </c>
      <c r="H112" s="245">
        <v>0</v>
      </c>
      <c r="I112" s="250">
        <v>0</v>
      </c>
      <c r="J112" s="244" t="s">
        <v>1007</v>
      </c>
    </row>
    <row r="113" spans="1:10">
      <c r="A113" s="221" t="str">
        <f t="shared" si="2"/>
        <v>343</v>
      </c>
      <c r="B113" s="215">
        <v>3431000000</v>
      </c>
      <c r="C113" s="244" t="s">
        <v>1334</v>
      </c>
      <c r="D113" s="245">
        <v>0</v>
      </c>
      <c r="E113" s="245">
        <v>21854.42</v>
      </c>
      <c r="F113" s="245">
        <v>0</v>
      </c>
      <c r="G113" s="245">
        <v>195137.1</v>
      </c>
      <c r="H113" s="245">
        <v>0</v>
      </c>
      <c r="I113" s="250">
        <v>195137.1</v>
      </c>
      <c r="J113" s="244" t="s">
        <v>1008</v>
      </c>
    </row>
    <row r="114" spans="1:10">
      <c r="A114" s="221" t="str">
        <f t="shared" si="2"/>
        <v>343</v>
      </c>
      <c r="B114" s="215">
        <v>3431300000</v>
      </c>
      <c r="C114" s="244" t="s">
        <v>1335</v>
      </c>
      <c r="D114" s="245">
        <v>0</v>
      </c>
      <c r="E114" s="245">
        <v>2464.7199999999998</v>
      </c>
      <c r="F114" s="245">
        <v>0</v>
      </c>
      <c r="G114" s="245">
        <v>42081.33</v>
      </c>
      <c r="H114" s="245">
        <v>0</v>
      </c>
      <c r="I114" s="250">
        <v>42081.33</v>
      </c>
      <c r="J114" s="244" t="s">
        <v>1009</v>
      </c>
    </row>
    <row r="115" spans="1:10">
      <c r="A115" s="221" t="str">
        <f t="shared" si="2"/>
        <v>343</v>
      </c>
      <c r="B115" s="215">
        <v>3431800000</v>
      </c>
      <c r="C115" s="244" t="s">
        <v>1336</v>
      </c>
      <c r="D115" s="245">
        <v>0</v>
      </c>
      <c r="E115" s="245">
        <v>20324.61</v>
      </c>
      <c r="F115" s="245">
        <v>0</v>
      </c>
      <c r="G115" s="245">
        <v>176780.68</v>
      </c>
      <c r="H115" s="245">
        <v>0</v>
      </c>
      <c r="I115" s="250">
        <v>176780.68</v>
      </c>
      <c r="J115" s="244" t="s">
        <v>1010</v>
      </c>
    </row>
    <row r="116" spans="1:10">
      <c r="A116" s="221" t="str">
        <f t="shared" si="2"/>
        <v>343</v>
      </c>
      <c r="B116" s="215">
        <v>3431900000</v>
      </c>
      <c r="C116" s="244" t="s">
        <v>1337</v>
      </c>
      <c r="D116" s="245">
        <v>0</v>
      </c>
      <c r="E116" s="245">
        <v>0</v>
      </c>
      <c r="F116" s="245">
        <v>20324.61</v>
      </c>
      <c r="G116" s="245">
        <v>0</v>
      </c>
      <c r="H116" s="245">
        <v>176780.68</v>
      </c>
      <c r="I116" s="250">
        <v>-176780.68</v>
      </c>
      <c r="J116" s="244" t="s">
        <v>1011</v>
      </c>
    </row>
    <row r="117" spans="1:10">
      <c r="A117" s="221" t="str">
        <f t="shared" si="2"/>
        <v>343</v>
      </c>
      <c r="B117" s="215">
        <v>3432000000</v>
      </c>
      <c r="C117" s="244" t="s">
        <v>1338</v>
      </c>
      <c r="D117" s="245">
        <v>0</v>
      </c>
      <c r="E117" s="245">
        <v>0</v>
      </c>
      <c r="F117" s="245">
        <v>2464.7199999999998</v>
      </c>
      <c r="G117" s="245">
        <v>0</v>
      </c>
      <c r="H117" s="245">
        <v>42081.33</v>
      </c>
      <c r="I117" s="250">
        <v>-42081.33</v>
      </c>
      <c r="J117" s="244" t="s">
        <v>1012</v>
      </c>
    </row>
    <row r="118" spans="1:10">
      <c r="A118" s="221" t="str">
        <f t="shared" si="2"/>
        <v>343</v>
      </c>
      <c r="B118" s="215">
        <v>3432200000</v>
      </c>
      <c r="C118" s="244" t="s">
        <v>1339</v>
      </c>
      <c r="D118" s="245">
        <v>0</v>
      </c>
      <c r="E118" s="245">
        <v>1900.86</v>
      </c>
      <c r="F118" s="245">
        <v>0</v>
      </c>
      <c r="G118" s="245">
        <v>1900.86</v>
      </c>
      <c r="H118" s="245">
        <v>0</v>
      </c>
      <c r="I118" s="250">
        <v>1900.86</v>
      </c>
      <c r="J118" s="244" t="s">
        <v>1207</v>
      </c>
    </row>
    <row r="119" spans="1:10">
      <c r="A119" s="221" t="str">
        <f t="shared" si="2"/>
        <v>343</v>
      </c>
      <c r="B119" s="215">
        <v>3432230000</v>
      </c>
      <c r="C119" s="244" t="s">
        <v>1340</v>
      </c>
      <c r="D119" s="245">
        <v>0</v>
      </c>
      <c r="E119" s="245">
        <v>0</v>
      </c>
      <c r="F119" s="245">
        <v>1900.86</v>
      </c>
      <c r="G119" s="245">
        <v>0</v>
      </c>
      <c r="H119" s="245">
        <v>1900.86</v>
      </c>
      <c r="I119" s="250">
        <v>-1900.86</v>
      </c>
      <c r="J119" s="244" t="s">
        <v>1208</v>
      </c>
    </row>
    <row r="120" spans="1:10">
      <c r="A120" s="221" t="str">
        <f t="shared" si="2"/>
        <v>343</v>
      </c>
      <c r="B120" s="215">
        <v>3432400000</v>
      </c>
      <c r="C120" s="244" t="s">
        <v>1341</v>
      </c>
      <c r="D120" s="245">
        <v>0</v>
      </c>
      <c r="E120" s="245">
        <v>0</v>
      </c>
      <c r="F120" s="245">
        <v>2835.77</v>
      </c>
      <c r="G120" s="245">
        <v>0</v>
      </c>
      <c r="H120" s="245">
        <v>27862.63</v>
      </c>
      <c r="I120" s="250">
        <v>-27862.63</v>
      </c>
      <c r="J120" s="244" t="s">
        <v>1013</v>
      </c>
    </row>
    <row r="121" spans="1:10">
      <c r="A121" s="221" t="str">
        <f t="shared" si="2"/>
        <v>343</v>
      </c>
      <c r="B121" s="215">
        <v>3432500000</v>
      </c>
      <c r="C121" s="244" t="s">
        <v>1342</v>
      </c>
      <c r="D121" s="245">
        <v>0</v>
      </c>
      <c r="E121" s="245">
        <v>318.47000000000003</v>
      </c>
      <c r="F121" s="245">
        <v>0</v>
      </c>
      <c r="G121" s="245">
        <v>28027.66</v>
      </c>
      <c r="H121" s="245">
        <v>0</v>
      </c>
      <c r="I121" s="250">
        <v>28027.66</v>
      </c>
      <c r="J121" s="244" t="s">
        <v>1014</v>
      </c>
    </row>
    <row r="122" spans="1:10">
      <c r="A122" s="221" t="str">
        <f t="shared" si="2"/>
        <v>343</v>
      </c>
      <c r="B122" s="215">
        <v>3432600000</v>
      </c>
      <c r="C122" s="244" t="s">
        <v>1343</v>
      </c>
      <c r="D122" s="245">
        <v>0</v>
      </c>
      <c r="E122" s="245">
        <v>0</v>
      </c>
      <c r="F122" s="245">
        <v>0</v>
      </c>
      <c r="G122" s="245">
        <v>2236.86</v>
      </c>
      <c r="H122" s="245">
        <v>0</v>
      </c>
      <c r="I122" s="250">
        <v>2236.86</v>
      </c>
      <c r="J122" s="244" t="s">
        <v>1015</v>
      </c>
    </row>
    <row r="123" spans="1:10">
      <c r="A123" s="221" t="str">
        <f t="shared" si="2"/>
        <v>343</v>
      </c>
      <c r="B123" s="215">
        <v>3432700000</v>
      </c>
      <c r="C123" s="244" t="s">
        <v>1344</v>
      </c>
      <c r="D123" s="245">
        <v>0</v>
      </c>
      <c r="E123" s="245">
        <v>0</v>
      </c>
      <c r="F123" s="245">
        <v>0</v>
      </c>
      <c r="G123" s="245">
        <v>0</v>
      </c>
      <c r="H123" s="245">
        <v>2236.86</v>
      </c>
      <c r="I123" s="250">
        <v>-2236.86</v>
      </c>
      <c r="J123" s="244" t="s">
        <v>1016</v>
      </c>
    </row>
    <row r="124" spans="1:10">
      <c r="A124" s="221" t="str">
        <f t="shared" si="2"/>
        <v>343</v>
      </c>
      <c r="B124" s="215">
        <v>3436000000</v>
      </c>
      <c r="C124" s="244" t="s">
        <v>1345</v>
      </c>
      <c r="D124" s="245">
        <v>-3000.8</v>
      </c>
      <c r="E124" s="245">
        <v>0</v>
      </c>
      <c r="F124" s="245">
        <v>0</v>
      </c>
      <c r="G124" s="245">
        <v>0</v>
      </c>
      <c r="H124" s="245">
        <v>0</v>
      </c>
      <c r="I124" s="250">
        <v>-3000.8</v>
      </c>
      <c r="J124" s="244" t="s">
        <v>1017</v>
      </c>
    </row>
    <row r="125" spans="1:10">
      <c r="A125" s="221" t="str">
        <f t="shared" si="2"/>
        <v>343</v>
      </c>
      <c r="B125" s="215">
        <v>3437000000</v>
      </c>
      <c r="C125" s="244" t="s">
        <v>1346</v>
      </c>
      <c r="D125" s="245">
        <v>0</v>
      </c>
      <c r="E125" s="245">
        <v>24690.19</v>
      </c>
      <c r="F125" s="245">
        <v>24690.19</v>
      </c>
      <c r="G125" s="245">
        <v>222999.73</v>
      </c>
      <c r="H125" s="245">
        <v>222999.73</v>
      </c>
      <c r="I125" s="250">
        <v>0</v>
      </c>
      <c r="J125" s="244" t="s">
        <v>1018</v>
      </c>
    </row>
    <row r="126" spans="1:10">
      <c r="A126" s="221" t="str">
        <f t="shared" si="2"/>
        <v>343</v>
      </c>
      <c r="B126" s="215">
        <v>3438000000</v>
      </c>
      <c r="C126" s="244" t="s">
        <v>1347</v>
      </c>
      <c r="D126" s="245">
        <v>0</v>
      </c>
      <c r="E126" s="245">
        <v>0</v>
      </c>
      <c r="F126" s="245">
        <v>21854.42</v>
      </c>
      <c r="G126" s="245">
        <v>0</v>
      </c>
      <c r="H126" s="245">
        <v>195137.1</v>
      </c>
      <c r="I126" s="250">
        <v>-195137.1</v>
      </c>
      <c r="J126" s="244" t="s">
        <v>1019</v>
      </c>
    </row>
    <row r="127" spans="1:10">
      <c r="A127" s="221" t="str">
        <f t="shared" si="2"/>
        <v>345</v>
      </c>
      <c r="B127" s="215">
        <v>3451000000</v>
      </c>
      <c r="C127" s="244" t="s">
        <v>1348</v>
      </c>
      <c r="D127" s="245">
        <v>-150</v>
      </c>
      <c r="E127" s="245">
        <v>0</v>
      </c>
      <c r="F127" s="245">
        <v>80.540000000000006</v>
      </c>
      <c r="G127" s="245">
        <v>150</v>
      </c>
      <c r="H127" s="245">
        <v>80.540000000000006</v>
      </c>
      <c r="I127" s="250">
        <v>-80.540000000000006</v>
      </c>
      <c r="J127" s="244" t="s">
        <v>1209</v>
      </c>
    </row>
    <row r="128" spans="1:10">
      <c r="A128" s="221" t="str">
        <f t="shared" si="2"/>
        <v>378</v>
      </c>
      <c r="B128" s="215">
        <v>3781000000</v>
      </c>
      <c r="C128" s="244" t="s">
        <v>1349</v>
      </c>
      <c r="D128" s="245">
        <v>0</v>
      </c>
      <c r="E128" s="245">
        <v>397777.38</v>
      </c>
      <c r="F128" s="245">
        <v>541343.18000000005</v>
      </c>
      <c r="G128" s="245">
        <v>3766837.97</v>
      </c>
      <c r="H128" s="245">
        <v>4368432.0599999996</v>
      </c>
      <c r="I128" s="250">
        <v>-601594.09</v>
      </c>
      <c r="J128" s="244" t="s">
        <v>1020</v>
      </c>
    </row>
    <row r="129" spans="1:11">
      <c r="A129" s="221" t="str">
        <f t="shared" si="2"/>
        <v>378</v>
      </c>
      <c r="B129" s="215">
        <v>3782000000</v>
      </c>
      <c r="C129" s="244" t="s">
        <v>1350</v>
      </c>
      <c r="D129" s="245">
        <v>0</v>
      </c>
      <c r="E129" s="245">
        <v>2000</v>
      </c>
      <c r="F129" s="245">
        <v>0</v>
      </c>
      <c r="G129" s="245">
        <v>2000</v>
      </c>
      <c r="H129" s="245">
        <v>0</v>
      </c>
      <c r="I129" s="250">
        <v>2000</v>
      </c>
      <c r="J129" s="244" t="s">
        <v>1021</v>
      </c>
    </row>
    <row r="130" spans="1:11">
      <c r="A130" s="221" t="str">
        <f t="shared" si="2"/>
        <v>378</v>
      </c>
      <c r="B130" s="215">
        <v>3783000000</v>
      </c>
      <c r="C130" s="244" t="s">
        <v>1351</v>
      </c>
      <c r="D130" s="245">
        <v>0</v>
      </c>
      <c r="E130" s="245">
        <v>7690</v>
      </c>
      <c r="F130" s="245">
        <v>0</v>
      </c>
      <c r="G130" s="245">
        <v>13891</v>
      </c>
      <c r="H130" s="245">
        <v>6201</v>
      </c>
      <c r="I130" s="250">
        <v>7690</v>
      </c>
      <c r="J130" s="244" t="s">
        <v>1210</v>
      </c>
    </row>
    <row r="131" spans="1:11">
      <c r="A131" s="221" t="str">
        <f t="shared" si="2"/>
        <v>379</v>
      </c>
      <c r="B131" s="215">
        <v>3791000000</v>
      </c>
      <c r="C131" s="244" t="s">
        <v>1352</v>
      </c>
      <c r="D131" s="245">
        <v>-1315.73</v>
      </c>
      <c r="E131" s="245">
        <v>640.35</v>
      </c>
      <c r="F131" s="245">
        <v>1358.75</v>
      </c>
      <c r="G131" s="245">
        <v>9238.3700000000008</v>
      </c>
      <c r="H131" s="245">
        <v>9281.39</v>
      </c>
      <c r="I131" s="250">
        <v>-1358.75</v>
      </c>
      <c r="J131" s="244" t="s">
        <v>1211</v>
      </c>
    </row>
    <row r="132" spans="1:11">
      <c r="A132" s="221" t="str">
        <f t="shared" si="2"/>
        <v>379</v>
      </c>
      <c r="B132" s="215">
        <v>3792000000</v>
      </c>
      <c r="C132" s="244" t="s">
        <v>1353</v>
      </c>
      <c r="D132" s="245">
        <v>-306942.90999999997</v>
      </c>
      <c r="E132" s="245">
        <v>0</v>
      </c>
      <c r="F132" s="245">
        <v>0</v>
      </c>
      <c r="G132" s="245">
        <v>0</v>
      </c>
      <c r="H132" s="245">
        <v>0</v>
      </c>
      <c r="I132" s="250">
        <v>-306942.90999999997</v>
      </c>
      <c r="J132" s="244" t="s">
        <v>1022</v>
      </c>
    </row>
    <row r="133" spans="1:11">
      <c r="A133" s="221" t="str">
        <f t="shared" si="2"/>
        <v>379</v>
      </c>
      <c r="B133" s="215">
        <v>3794000000</v>
      </c>
      <c r="C133" s="244" t="s">
        <v>1354</v>
      </c>
      <c r="D133" s="245">
        <v>0</v>
      </c>
      <c r="E133" s="245">
        <v>318.47000000000003</v>
      </c>
      <c r="F133" s="245">
        <v>318.47000000000003</v>
      </c>
      <c r="G133" s="245">
        <v>30264.52</v>
      </c>
      <c r="H133" s="245">
        <v>30264.52</v>
      </c>
      <c r="I133" s="250">
        <v>0</v>
      </c>
      <c r="J133" s="244" t="s">
        <v>1023</v>
      </c>
    </row>
    <row r="134" spans="1:11">
      <c r="A134" s="221" t="str">
        <f t="shared" si="2"/>
        <v>381</v>
      </c>
      <c r="B134" s="215">
        <v>3811000000</v>
      </c>
      <c r="C134" s="244" t="s">
        <v>1355</v>
      </c>
      <c r="D134" s="245">
        <v>4669.2299999999996</v>
      </c>
      <c r="E134" s="245">
        <v>315.48</v>
      </c>
      <c r="F134" s="245">
        <v>0</v>
      </c>
      <c r="G134" s="245">
        <v>2624.63</v>
      </c>
      <c r="H134" s="245">
        <v>4669.2299999999996</v>
      </c>
      <c r="I134" s="250">
        <v>2624.63</v>
      </c>
      <c r="J134" s="244" t="s">
        <v>1024</v>
      </c>
    </row>
    <row r="135" spans="1:11">
      <c r="A135" s="221" t="str">
        <f t="shared" si="2"/>
        <v>383</v>
      </c>
      <c r="B135" s="215">
        <v>3831000000</v>
      </c>
      <c r="C135" s="244" t="s">
        <v>1356</v>
      </c>
      <c r="D135" s="245">
        <v>0</v>
      </c>
      <c r="E135" s="245">
        <v>-1448.06</v>
      </c>
      <c r="F135" s="245">
        <v>763.95</v>
      </c>
      <c r="G135" s="245">
        <v>-1448.06</v>
      </c>
      <c r="H135" s="245">
        <v>763.95</v>
      </c>
      <c r="I135" s="250">
        <v>-2212.0100000000002</v>
      </c>
      <c r="J135" s="244" t="s">
        <v>1222</v>
      </c>
      <c r="K135" s="223">
        <f>-G135+H135</f>
        <v>2212.0100000000002</v>
      </c>
    </row>
    <row r="136" spans="1:11">
      <c r="A136" s="221" t="str">
        <f t="shared" si="2"/>
        <v>384</v>
      </c>
      <c r="B136" s="215">
        <v>3841000000</v>
      </c>
      <c r="C136" s="244" t="s">
        <v>1357</v>
      </c>
      <c r="D136" s="245">
        <v>-2999.84</v>
      </c>
      <c r="E136" s="245">
        <v>666.06</v>
      </c>
      <c r="F136" s="245">
        <v>21813.759999999998</v>
      </c>
      <c r="G136" s="245">
        <v>2943.03</v>
      </c>
      <c r="H136" s="245">
        <v>28053.759999999998</v>
      </c>
      <c r="I136" s="250">
        <v>-28110.57</v>
      </c>
      <c r="J136" s="244" t="s">
        <v>1026</v>
      </c>
    </row>
    <row r="137" spans="1:11">
      <c r="A137" s="221" t="str">
        <f t="shared" si="2"/>
        <v>384</v>
      </c>
      <c r="B137" s="215">
        <v>3842000000</v>
      </c>
      <c r="C137" s="244" t="s">
        <v>1358</v>
      </c>
      <c r="D137" s="245">
        <v>-422.76</v>
      </c>
      <c r="E137" s="245">
        <v>422.76</v>
      </c>
      <c r="F137" s="245">
        <v>0</v>
      </c>
      <c r="G137" s="245">
        <v>422.76</v>
      </c>
      <c r="H137" s="245">
        <v>0</v>
      </c>
      <c r="I137" s="250">
        <v>0</v>
      </c>
      <c r="J137" s="244" t="s">
        <v>1027</v>
      </c>
    </row>
    <row r="138" spans="1:11">
      <c r="A138" s="221" t="str">
        <f t="shared" si="2"/>
        <v>384</v>
      </c>
      <c r="B138" s="215">
        <v>3844000000</v>
      </c>
      <c r="C138" s="244" t="s">
        <v>1359</v>
      </c>
      <c r="D138" s="245">
        <v>0</v>
      </c>
      <c r="E138" s="245">
        <v>412.86</v>
      </c>
      <c r="F138" s="245">
        <v>1233.76</v>
      </c>
      <c r="G138" s="245">
        <v>4927.8100000000004</v>
      </c>
      <c r="H138" s="245">
        <v>4927.8100000000004</v>
      </c>
      <c r="I138" s="250">
        <v>0</v>
      </c>
      <c r="J138" s="244" t="s">
        <v>1028</v>
      </c>
    </row>
    <row r="139" spans="1:11">
      <c r="A139" s="221" t="str">
        <f t="shared" si="2"/>
        <v>384</v>
      </c>
      <c r="B139" s="215">
        <v>3845000000</v>
      </c>
      <c r="C139" s="244" t="s">
        <v>1360</v>
      </c>
      <c r="D139" s="245">
        <v>-36419.769999999997</v>
      </c>
      <c r="E139" s="245">
        <v>552.12</v>
      </c>
      <c r="F139" s="245">
        <v>1200</v>
      </c>
      <c r="G139" s="245">
        <v>6441.85</v>
      </c>
      <c r="H139" s="245">
        <v>1200</v>
      </c>
      <c r="I139" s="250">
        <v>-31177.919999999998</v>
      </c>
      <c r="J139" s="244" t="s">
        <v>1029</v>
      </c>
    </row>
    <row r="140" spans="1:11">
      <c r="A140" s="221" t="str">
        <f t="shared" si="2"/>
        <v>391</v>
      </c>
      <c r="B140" s="215">
        <v>3911200000</v>
      </c>
      <c r="C140" s="244" t="s">
        <v>1361</v>
      </c>
      <c r="D140" s="245">
        <v>-5685.26</v>
      </c>
      <c r="E140" s="245">
        <v>3344.26</v>
      </c>
      <c r="F140" s="245">
        <v>0</v>
      </c>
      <c r="G140" s="245">
        <v>3344.26</v>
      </c>
      <c r="H140" s="245">
        <v>0</v>
      </c>
      <c r="I140" s="250">
        <v>-2341</v>
      </c>
      <c r="J140" s="244" t="s">
        <v>1030</v>
      </c>
    </row>
    <row r="141" spans="1:11">
      <c r="A141" s="221" t="str">
        <f t="shared" si="2"/>
        <v>395</v>
      </c>
      <c r="B141" s="215">
        <v>3951000000</v>
      </c>
      <c r="C141" s="244" t="s">
        <v>1362</v>
      </c>
      <c r="D141" s="245">
        <v>0</v>
      </c>
      <c r="E141" s="245">
        <v>47.44</v>
      </c>
      <c r="F141" s="245">
        <v>47.44</v>
      </c>
      <c r="G141" s="245">
        <v>-120094.71</v>
      </c>
      <c r="H141" s="245">
        <v>-120094.71</v>
      </c>
      <c r="I141" s="250">
        <v>0</v>
      </c>
      <c r="J141" s="244" t="s">
        <v>1031</v>
      </c>
    </row>
    <row r="142" spans="1:11">
      <c r="A142" s="221" t="str">
        <f t="shared" si="2"/>
        <v>411</v>
      </c>
      <c r="B142" s="215">
        <v>4111000000</v>
      </c>
      <c r="C142" s="244" t="s">
        <v>1363</v>
      </c>
      <c r="D142" s="245">
        <v>-663.87</v>
      </c>
      <c r="E142" s="245">
        <v>0</v>
      </c>
      <c r="F142" s="245">
        <v>0</v>
      </c>
      <c r="G142" s="245">
        <v>0</v>
      </c>
      <c r="H142" s="245">
        <v>0</v>
      </c>
      <c r="I142" s="250">
        <v>-663.87</v>
      </c>
      <c r="J142" s="244" t="s">
        <v>492</v>
      </c>
    </row>
    <row r="143" spans="1:11">
      <c r="A143" s="221" t="str">
        <f t="shared" si="2"/>
        <v>427</v>
      </c>
      <c r="B143" s="215">
        <v>4271000000</v>
      </c>
      <c r="C143" s="244" t="s">
        <v>1364</v>
      </c>
      <c r="D143" s="245">
        <v>-17624.310000000001</v>
      </c>
      <c r="E143" s="245">
        <v>0</v>
      </c>
      <c r="F143" s="245">
        <v>0</v>
      </c>
      <c r="G143" s="245">
        <v>0</v>
      </c>
      <c r="H143" s="245">
        <v>0</v>
      </c>
      <c r="I143" s="250">
        <v>-17624.310000000001</v>
      </c>
      <c r="J143" s="244" t="s">
        <v>1032</v>
      </c>
    </row>
    <row r="144" spans="1:11">
      <c r="A144" s="221" t="str">
        <f t="shared" si="2"/>
        <v>427</v>
      </c>
      <c r="B144" s="215">
        <v>4271190000</v>
      </c>
      <c r="C144" s="244" t="s">
        <v>1365</v>
      </c>
      <c r="D144" s="245">
        <v>0</v>
      </c>
      <c r="E144" s="245">
        <v>0</v>
      </c>
      <c r="F144" s="245">
        <v>6690</v>
      </c>
      <c r="G144" s="245">
        <v>0</v>
      </c>
      <c r="H144" s="245">
        <v>12891</v>
      </c>
      <c r="I144" s="250">
        <v>-12891</v>
      </c>
      <c r="J144" s="244" t="s">
        <v>1212</v>
      </c>
    </row>
    <row r="145" spans="1:16">
      <c r="A145" s="221" t="str">
        <f t="shared" si="2"/>
        <v>427</v>
      </c>
      <c r="B145" s="215">
        <v>4272190000</v>
      </c>
      <c r="C145" s="244" t="s">
        <v>1366</v>
      </c>
      <c r="D145" s="245">
        <v>0</v>
      </c>
      <c r="E145" s="245">
        <v>6690</v>
      </c>
      <c r="F145" s="245">
        <v>0</v>
      </c>
      <c r="G145" s="245">
        <v>12891</v>
      </c>
      <c r="H145" s="245">
        <v>0</v>
      </c>
      <c r="I145" s="250">
        <v>12891</v>
      </c>
      <c r="J145" s="244" t="s">
        <v>1212</v>
      </c>
    </row>
    <row r="146" spans="1:16">
      <c r="A146" s="221" t="str">
        <f t="shared" si="2"/>
        <v>428</v>
      </c>
      <c r="B146" s="215">
        <v>4281000000</v>
      </c>
      <c r="C146" s="244" t="s">
        <v>1367</v>
      </c>
      <c r="D146" s="245">
        <v>404614.66</v>
      </c>
      <c r="E146" s="245">
        <v>180120.2</v>
      </c>
      <c r="F146" s="245">
        <v>0</v>
      </c>
      <c r="G146" s="245">
        <v>192504.9</v>
      </c>
      <c r="H146" s="245">
        <v>0</v>
      </c>
      <c r="I146" s="250">
        <v>597119.56000000006</v>
      </c>
      <c r="J146" s="244" t="s">
        <v>1033</v>
      </c>
      <c r="K146" s="223">
        <f>+G146-E146</f>
        <v>12384.699999999983</v>
      </c>
    </row>
    <row r="147" spans="1:16">
      <c r="A147" s="221" t="str">
        <f t="shared" si="2"/>
        <v>431</v>
      </c>
      <c r="B147" s="215">
        <v>4311000000</v>
      </c>
      <c r="C147" s="244" t="s">
        <v>1368</v>
      </c>
      <c r="D147" s="245">
        <v>180120.2</v>
      </c>
      <c r="E147" s="245">
        <v>0</v>
      </c>
      <c r="F147" s="245">
        <v>180120.2</v>
      </c>
      <c r="G147" s="245">
        <v>0</v>
      </c>
      <c r="H147" s="245">
        <v>180120.2</v>
      </c>
      <c r="I147" s="250">
        <v>0</v>
      </c>
      <c r="J147" s="244" t="s">
        <v>1034</v>
      </c>
    </row>
    <row r="148" spans="1:16">
      <c r="A148" s="221" t="str">
        <f t="shared" si="2"/>
        <v>472</v>
      </c>
      <c r="B148" s="215">
        <v>4721100000</v>
      </c>
      <c r="C148" s="244" t="s">
        <v>1369</v>
      </c>
      <c r="D148" s="245">
        <v>-39557.72</v>
      </c>
      <c r="E148" s="245">
        <v>0</v>
      </c>
      <c r="F148" s="245">
        <v>0</v>
      </c>
      <c r="G148" s="245">
        <v>0</v>
      </c>
      <c r="H148" s="245">
        <v>0</v>
      </c>
      <c r="I148" s="250">
        <v>-39557.72</v>
      </c>
      <c r="J148" s="244" t="s">
        <v>1035</v>
      </c>
    </row>
    <row r="149" spans="1:16">
      <c r="A149" s="221" t="str">
        <f t="shared" si="2"/>
        <v>472</v>
      </c>
      <c r="B149" s="215">
        <v>4721200000</v>
      </c>
      <c r="C149" s="244" t="s">
        <v>1370</v>
      </c>
      <c r="D149" s="245">
        <v>0</v>
      </c>
      <c r="E149" s="245">
        <v>0</v>
      </c>
      <c r="F149" s="245">
        <v>1939.94</v>
      </c>
      <c r="G149" s="245">
        <v>0</v>
      </c>
      <c r="H149" s="245">
        <v>22328.09</v>
      </c>
      <c r="I149" s="250">
        <v>-22328.09</v>
      </c>
      <c r="J149" s="244" t="s">
        <v>1036</v>
      </c>
    </row>
    <row r="150" spans="1:16">
      <c r="A150" s="221" t="str">
        <f t="shared" si="2"/>
        <v>472</v>
      </c>
      <c r="B150" s="215">
        <v>4722110000</v>
      </c>
      <c r="C150" s="244" t="s">
        <v>1371</v>
      </c>
      <c r="D150" s="245">
        <v>0</v>
      </c>
      <c r="E150" s="245">
        <v>125</v>
      </c>
      <c r="F150" s="245">
        <v>0</v>
      </c>
      <c r="G150" s="245">
        <v>6768</v>
      </c>
      <c r="H150" s="245">
        <v>0</v>
      </c>
      <c r="I150" s="250">
        <v>6768</v>
      </c>
      <c r="J150" s="244" t="s">
        <v>1037</v>
      </c>
    </row>
    <row r="151" spans="1:16">
      <c r="A151" s="221" t="str">
        <f t="shared" si="2"/>
        <v>472</v>
      </c>
      <c r="B151" s="215">
        <v>4722130000</v>
      </c>
      <c r="C151" s="244" t="s">
        <v>1372</v>
      </c>
      <c r="D151" s="245">
        <v>0</v>
      </c>
      <c r="E151" s="245">
        <v>0</v>
      </c>
      <c r="F151" s="245">
        <v>0</v>
      </c>
      <c r="G151" s="245">
        <v>1500</v>
      </c>
      <c r="H151" s="245">
        <v>0</v>
      </c>
      <c r="I151" s="250">
        <v>1500</v>
      </c>
      <c r="J151" s="244" t="s">
        <v>1038</v>
      </c>
    </row>
    <row r="152" spans="1:16">
      <c r="A152" s="221" t="str">
        <f t="shared" si="2"/>
        <v>472</v>
      </c>
      <c r="B152" s="215">
        <v>4722140000</v>
      </c>
      <c r="C152" s="244" t="s">
        <v>1373</v>
      </c>
      <c r="D152" s="245">
        <v>0</v>
      </c>
      <c r="E152" s="245">
        <v>0</v>
      </c>
      <c r="F152" s="245">
        <v>0</v>
      </c>
      <c r="G152" s="245">
        <v>607.26</v>
      </c>
      <c r="H152" s="245">
        <v>0</v>
      </c>
      <c r="I152" s="250">
        <v>607.26</v>
      </c>
      <c r="J152" s="244" t="s">
        <v>1039</v>
      </c>
    </row>
    <row r="153" spans="1:16">
      <c r="A153" s="221" t="str">
        <f t="shared" si="2"/>
        <v>472</v>
      </c>
      <c r="B153" s="215">
        <v>4722220000</v>
      </c>
      <c r="C153" s="244" t="s">
        <v>1374</v>
      </c>
      <c r="D153" s="245">
        <v>0</v>
      </c>
      <c r="E153" s="245">
        <v>211.95</v>
      </c>
      <c r="F153" s="245">
        <v>0</v>
      </c>
      <c r="G153" s="245">
        <v>3041.25</v>
      </c>
      <c r="H153" s="245">
        <v>0</v>
      </c>
      <c r="I153" s="250">
        <v>3041.25</v>
      </c>
      <c r="J153" s="244" t="s">
        <v>1040</v>
      </c>
    </row>
    <row r="154" spans="1:16">
      <c r="A154" s="221" t="str">
        <f t="shared" si="2"/>
        <v>472</v>
      </c>
      <c r="B154" s="215">
        <v>4722240000</v>
      </c>
      <c r="C154" s="244" t="s">
        <v>1375</v>
      </c>
      <c r="D154" s="245">
        <v>0</v>
      </c>
      <c r="E154" s="245">
        <v>0</v>
      </c>
      <c r="F154" s="245">
        <v>0</v>
      </c>
      <c r="G154" s="245">
        <v>0</v>
      </c>
      <c r="H154" s="245">
        <v>0</v>
      </c>
      <c r="I154" s="250">
        <v>0</v>
      </c>
      <c r="J154" s="244" t="s">
        <v>1041</v>
      </c>
    </row>
    <row r="155" spans="1:16">
      <c r="A155" s="221" t="str">
        <f t="shared" si="2"/>
        <v>472</v>
      </c>
      <c r="B155" s="215">
        <v>4722250000</v>
      </c>
      <c r="C155" s="244" t="s">
        <v>1376</v>
      </c>
      <c r="D155" s="245">
        <v>0</v>
      </c>
      <c r="E155" s="245">
        <v>0</v>
      </c>
      <c r="F155" s="245">
        <v>0</v>
      </c>
      <c r="G155" s="245">
        <v>503.63</v>
      </c>
      <c r="H155" s="245">
        <v>0</v>
      </c>
      <c r="I155" s="250">
        <v>503.63</v>
      </c>
      <c r="J155" s="244" t="s">
        <v>1042</v>
      </c>
    </row>
    <row r="156" spans="1:16">
      <c r="A156" s="221" t="str">
        <f t="shared" si="2"/>
        <v>472</v>
      </c>
      <c r="B156" s="215">
        <v>4722310000</v>
      </c>
      <c r="C156" s="244" t="s">
        <v>1377</v>
      </c>
      <c r="D156" s="245">
        <v>0</v>
      </c>
      <c r="E156" s="245">
        <v>0</v>
      </c>
      <c r="F156" s="245">
        <v>0</v>
      </c>
      <c r="G156" s="245">
        <v>700</v>
      </c>
      <c r="H156" s="245">
        <v>0</v>
      </c>
      <c r="I156" s="250">
        <v>700</v>
      </c>
      <c r="J156" s="244" t="s">
        <v>1043</v>
      </c>
    </row>
    <row r="157" spans="1:16">
      <c r="A157" s="221" t="str">
        <f t="shared" si="2"/>
        <v>472</v>
      </c>
      <c r="B157" s="215">
        <v>4722410000</v>
      </c>
      <c r="C157" s="244" t="s">
        <v>1378</v>
      </c>
      <c r="D157" s="245">
        <v>0</v>
      </c>
      <c r="E157" s="245">
        <v>0</v>
      </c>
      <c r="F157" s="245">
        <v>0</v>
      </c>
      <c r="G157" s="245">
        <v>13962.5</v>
      </c>
      <c r="H157" s="245">
        <v>0</v>
      </c>
      <c r="I157" s="250">
        <v>13962.5</v>
      </c>
      <c r="J157" s="244" t="s">
        <v>1044</v>
      </c>
    </row>
    <row r="158" spans="1:16">
      <c r="A158" s="221" t="str">
        <f t="shared" si="2"/>
        <v>472</v>
      </c>
      <c r="B158" s="215">
        <v>4722420000</v>
      </c>
      <c r="C158" s="244" t="s">
        <v>1379</v>
      </c>
      <c r="D158" s="245">
        <v>0</v>
      </c>
      <c r="E158" s="245">
        <v>100</v>
      </c>
      <c r="F158" s="245">
        <v>0</v>
      </c>
      <c r="G158" s="245">
        <v>20160</v>
      </c>
      <c r="H158" s="245">
        <v>0</v>
      </c>
      <c r="I158" s="250">
        <v>20160</v>
      </c>
      <c r="J158" s="244" t="s">
        <v>1045</v>
      </c>
    </row>
    <row r="159" spans="1:16">
      <c r="A159" s="221" t="str">
        <f t="shared" si="2"/>
        <v>472</v>
      </c>
      <c r="B159" s="215">
        <v>4722500000</v>
      </c>
      <c r="C159" s="244" t="s">
        <v>1380</v>
      </c>
      <c r="D159" s="245">
        <v>0</v>
      </c>
      <c r="E159" s="245">
        <v>270.95999999999998</v>
      </c>
      <c r="F159" s="245">
        <v>0</v>
      </c>
      <c r="G159" s="245">
        <v>2320.06</v>
      </c>
      <c r="H159" s="245">
        <v>0</v>
      </c>
      <c r="I159" s="250">
        <v>2320.06</v>
      </c>
      <c r="J159" s="244" t="s">
        <v>1046</v>
      </c>
    </row>
    <row r="160" spans="1:16">
      <c r="A160" s="221" t="str">
        <f t="shared" si="2"/>
        <v>501</v>
      </c>
      <c r="B160" s="215">
        <v>5012110000</v>
      </c>
      <c r="C160" s="244" t="s">
        <v>1381</v>
      </c>
      <c r="D160" s="245">
        <v>0</v>
      </c>
      <c r="E160" s="245">
        <v>138</v>
      </c>
      <c r="F160" s="245">
        <v>0</v>
      </c>
      <c r="G160" s="245">
        <v>13366.32</v>
      </c>
      <c r="H160" s="245">
        <v>0</v>
      </c>
      <c r="I160" s="250">
        <v>13366.32</v>
      </c>
      <c r="J160" s="244" t="s">
        <v>1047</v>
      </c>
      <c r="L160" s="223">
        <f>SUMIF('VC detail'!C:C,B160,'VC detail'!E:E)</f>
        <v>0</v>
      </c>
      <c r="M160" s="223">
        <f>+I160-L160</f>
        <v>13366.32</v>
      </c>
      <c r="N160" s="223"/>
      <c r="O160" s="280">
        <f>+M160+N160</f>
        <v>13366.32</v>
      </c>
      <c r="P160" s="215" t="e">
        <f>VLOOKUP(B160,#REF!,6,0)</f>
        <v>#REF!</v>
      </c>
    </row>
    <row r="161" spans="1:16">
      <c r="A161" s="221" t="str">
        <f t="shared" si="2"/>
        <v>501</v>
      </c>
      <c r="B161" s="215">
        <v>5012120000</v>
      </c>
      <c r="C161" s="244" t="s">
        <v>1382</v>
      </c>
      <c r="D161" s="245">
        <v>0</v>
      </c>
      <c r="E161" s="245">
        <v>363.64</v>
      </c>
      <c r="F161" s="245">
        <v>0</v>
      </c>
      <c r="G161" s="245">
        <v>4223.9399999999996</v>
      </c>
      <c r="H161" s="245">
        <v>0</v>
      </c>
      <c r="I161" s="250">
        <v>4223.9399999999996</v>
      </c>
      <c r="J161" s="244" t="s">
        <v>1048</v>
      </c>
      <c r="L161" s="223">
        <f>SUMIF('VC detail'!C:C,B161,'VC detail'!E:E)</f>
        <v>315.21439393931672</v>
      </c>
      <c r="M161" s="223">
        <f t="shared" ref="M161:M224" si="3">+I161-L161</f>
        <v>3908.7256060606828</v>
      </c>
      <c r="N161" s="223"/>
      <c r="O161" s="280">
        <f t="shared" ref="O161:O224" si="4">+M161+N161</f>
        <v>3908.7256060606828</v>
      </c>
      <c r="P161" s="215" t="e">
        <f>VLOOKUP(B161,#REF!,6,0)</f>
        <v>#REF!</v>
      </c>
    </row>
    <row r="162" spans="1:16">
      <c r="A162" s="221" t="str">
        <f t="shared" si="2"/>
        <v>501</v>
      </c>
      <c r="B162" s="215">
        <v>5012210000</v>
      </c>
      <c r="C162" s="244" t="s">
        <v>1383</v>
      </c>
      <c r="D162" s="245">
        <v>0</v>
      </c>
      <c r="E162" s="245">
        <v>3992.35</v>
      </c>
      <c r="F162" s="245">
        <v>0</v>
      </c>
      <c r="G162" s="245">
        <v>46244.38</v>
      </c>
      <c r="H162" s="245">
        <v>0</v>
      </c>
      <c r="I162" s="250">
        <v>46244.38</v>
      </c>
      <c r="J162" s="244" t="s">
        <v>1049</v>
      </c>
      <c r="L162" s="223">
        <f>SUMIF('VC detail'!C:C,B162,'VC detail'!E:E)</f>
        <v>0</v>
      </c>
      <c r="M162" s="223">
        <f t="shared" si="3"/>
        <v>46244.38</v>
      </c>
      <c r="N162" s="223"/>
      <c r="O162" s="280">
        <f t="shared" si="4"/>
        <v>46244.38</v>
      </c>
      <c r="P162" s="215" t="e">
        <f>VLOOKUP(B162,#REF!,6,0)</f>
        <v>#REF!</v>
      </c>
    </row>
    <row r="163" spans="1:16">
      <c r="A163" s="221" t="str">
        <f t="shared" ref="A163:A226" si="5">LEFT(B163,3)</f>
        <v>501</v>
      </c>
      <c r="B163" s="215">
        <v>5012220000</v>
      </c>
      <c r="C163" s="244" t="s">
        <v>1384</v>
      </c>
      <c r="D163" s="245">
        <v>0</v>
      </c>
      <c r="E163" s="245">
        <v>579.53</v>
      </c>
      <c r="F163" s="245">
        <v>0</v>
      </c>
      <c r="G163" s="245">
        <v>12088.27</v>
      </c>
      <c r="H163" s="245">
        <v>0</v>
      </c>
      <c r="I163" s="250">
        <v>12088.27</v>
      </c>
      <c r="J163" s="244" t="s">
        <v>1050</v>
      </c>
      <c r="L163" s="223">
        <f>SUMIF('VC detail'!C:C,B163,'VC detail'!E:E)</f>
        <v>902.09536636998268</v>
      </c>
      <c r="M163" s="223">
        <f t="shared" si="3"/>
        <v>11186.174633630018</v>
      </c>
      <c r="N163" s="223"/>
      <c r="O163" s="280">
        <f t="shared" si="4"/>
        <v>11186.174633630018</v>
      </c>
      <c r="P163" s="215" t="e">
        <f>VLOOKUP(B163,#REF!,6,0)</f>
        <v>#REF!</v>
      </c>
    </row>
    <row r="164" spans="1:16">
      <c r="A164" s="221" t="str">
        <f t="shared" si="5"/>
        <v>501</v>
      </c>
      <c r="B164" s="215">
        <v>5012310000</v>
      </c>
      <c r="C164" s="244" t="s">
        <v>1385</v>
      </c>
      <c r="D164" s="245">
        <v>0</v>
      </c>
      <c r="E164" s="245">
        <v>0</v>
      </c>
      <c r="F164" s="245">
        <v>0</v>
      </c>
      <c r="G164" s="245">
        <v>175.47</v>
      </c>
      <c r="H164" s="245">
        <v>0</v>
      </c>
      <c r="I164" s="250">
        <v>175.47</v>
      </c>
      <c r="J164" s="244" t="s">
        <v>1051</v>
      </c>
      <c r="L164" s="223">
        <f>SUMIF('VC detail'!C:C,B164,'VC detail'!E:E)</f>
        <v>0</v>
      </c>
      <c r="M164" s="223">
        <f t="shared" si="3"/>
        <v>175.47</v>
      </c>
      <c r="N164" s="223"/>
      <c r="O164" s="280">
        <f t="shared" si="4"/>
        <v>175.47</v>
      </c>
      <c r="P164" s="215" t="e">
        <f>VLOOKUP(B164,#REF!,6,0)</f>
        <v>#REF!</v>
      </c>
    </row>
    <row r="165" spans="1:16">
      <c r="A165" s="221" t="str">
        <f t="shared" si="5"/>
        <v>501</v>
      </c>
      <c r="B165" s="215">
        <v>5012320000</v>
      </c>
      <c r="C165" s="244" t="s">
        <v>1386</v>
      </c>
      <c r="D165" s="245">
        <v>0</v>
      </c>
      <c r="E165" s="245">
        <v>0</v>
      </c>
      <c r="F165" s="245">
        <v>0</v>
      </c>
      <c r="G165" s="245">
        <v>20.93</v>
      </c>
      <c r="H165" s="245">
        <v>0</v>
      </c>
      <c r="I165" s="250">
        <v>20.93</v>
      </c>
      <c r="J165" s="244" t="s">
        <v>1052</v>
      </c>
      <c r="L165" s="223">
        <f>SUMIF('VC detail'!C:C,B165,'VC detail'!E:E)</f>
        <v>1.5619154782383036</v>
      </c>
      <c r="M165" s="223">
        <f t="shared" si="3"/>
        <v>19.368084521761695</v>
      </c>
      <c r="N165" s="223"/>
      <c r="O165" s="280">
        <f t="shared" si="4"/>
        <v>19.368084521761695</v>
      </c>
      <c r="P165" s="215" t="e">
        <f>VLOOKUP(B165,#REF!,6,0)</f>
        <v>#REF!</v>
      </c>
    </row>
    <row r="166" spans="1:16">
      <c r="A166" s="221" t="str">
        <f t="shared" si="5"/>
        <v>501</v>
      </c>
      <c r="B166" s="215">
        <v>5012330000</v>
      </c>
      <c r="C166" s="244" t="s">
        <v>1387</v>
      </c>
      <c r="D166" s="245">
        <v>0</v>
      </c>
      <c r="E166" s="245">
        <v>0</v>
      </c>
      <c r="F166" s="245">
        <v>0</v>
      </c>
      <c r="G166" s="245">
        <v>16</v>
      </c>
      <c r="H166" s="245">
        <v>0</v>
      </c>
      <c r="I166" s="250">
        <v>16</v>
      </c>
      <c r="J166" s="244" t="s">
        <v>1053</v>
      </c>
      <c r="L166" s="223">
        <f>SUMIF('VC detail'!C:C,B166,'VC detail'!E:E)</f>
        <v>1.1940108768185789</v>
      </c>
      <c r="M166" s="223">
        <f t="shared" si="3"/>
        <v>14.805989123181421</v>
      </c>
      <c r="N166" s="223"/>
      <c r="O166" s="280">
        <f t="shared" si="4"/>
        <v>14.805989123181421</v>
      </c>
      <c r="P166" s="215" t="e">
        <f>VLOOKUP(B166,#REF!,6,0)</f>
        <v>#REF!</v>
      </c>
    </row>
    <row r="167" spans="1:16">
      <c r="A167" s="221" t="str">
        <f t="shared" si="5"/>
        <v>501</v>
      </c>
      <c r="B167" s="215">
        <v>5013110000</v>
      </c>
      <c r="C167" s="244" t="s">
        <v>1388</v>
      </c>
      <c r="D167" s="245">
        <v>0</v>
      </c>
      <c r="E167" s="245">
        <v>32323.3</v>
      </c>
      <c r="F167" s="245">
        <v>0</v>
      </c>
      <c r="G167" s="245">
        <v>320537.31</v>
      </c>
      <c r="H167" s="245">
        <v>0</v>
      </c>
      <c r="I167" s="250">
        <v>320537.31</v>
      </c>
      <c r="J167" s="244" t="s">
        <v>1054</v>
      </c>
      <c r="L167" s="223">
        <f>SUMIF('VC detail'!C:C,B167,'VC detail'!E:E)</f>
        <v>0</v>
      </c>
      <c r="M167" s="223">
        <f t="shared" si="3"/>
        <v>320537.31</v>
      </c>
      <c r="N167" s="223"/>
      <c r="O167" s="280">
        <f t="shared" si="4"/>
        <v>320537.31</v>
      </c>
      <c r="P167" s="215" t="e">
        <f>VLOOKUP(B167,#REF!,6,0)</f>
        <v>#REF!</v>
      </c>
    </row>
    <row r="168" spans="1:16">
      <c r="A168" s="221" t="str">
        <f t="shared" si="5"/>
        <v>501</v>
      </c>
      <c r="B168" s="215">
        <v>5014000000</v>
      </c>
      <c r="C168" s="244" t="s">
        <v>1389</v>
      </c>
      <c r="D168" s="245">
        <v>0</v>
      </c>
      <c r="E168" s="245">
        <v>5780.42</v>
      </c>
      <c r="F168" s="245">
        <v>0</v>
      </c>
      <c r="G168" s="245">
        <v>77559.77</v>
      </c>
      <c r="H168" s="245">
        <v>0</v>
      </c>
      <c r="I168" s="250">
        <v>77559.77</v>
      </c>
      <c r="J168" s="244" t="s">
        <v>1055</v>
      </c>
      <c r="L168" s="223">
        <f>SUMIF('VC detail'!C:C,B168,'VC detail'!E:E)</f>
        <v>0</v>
      </c>
      <c r="M168" s="223">
        <f t="shared" si="3"/>
        <v>77559.77</v>
      </c>
      <c r="N168" s="223"/>
      <c r="O168" s="280">
        <f t="shared" si="4"/>
        <v>77559.77</v>
      </c>
      <c r="P168" s="215" t="e">
        <f>VLOOKUP(B168,#REF!,6,0)</f>
        <v>#REF!</v>
      </c>
    </row>
    <row r="169" spans="1:16">
      <c r="A169" s="221" t="str">
        <f t="shared" si="5"/>
        <v>501</v>
      </c>
      <c r="B169" s="215">
        <v>5015110000</v>
      </c>
      <c r="C169" s="244" t="s">
        <v>1390</v>
      </c>
      <c r="D169" s="245">
        <v>0</v>
      </c>
      <c r="E169" s="245">
        <v>945.72</v>
      </c>
      <c r="F169" s="245">
        <v>0</v>
      </c>
      <c r="G169" s="245">
        <v>208417.22</v>
      </c>
      <c r="H169" s="245">
        <v>0</v>
      </c>
      <c r="I169" s="250">
        <v>208417.22</v>
      </c>
      <c r="J169" s="244" t="s">
        <v>1056</v>
      </c>
      <c r="L169" s="223">
        <f>SUMIF('VC detail'!C:C,B169,'VC detail'!E:E)</f>
        <v>0</v>
      </c>
      <c r="M169" s="223">
        <f t="shared" si="3"/>
        <v>208417.22</v>
      </c>
      <c r="N169" s="223"/>
      <c r="O169" s="280">
        <f t="shared" si="4"/>
        <v>208417.22</v>
      </c>
      <c r="P169" s="215" t="e">
        <f>VLOOKUP(B169,#REF!,6,0)</f>
        <v>#REF!</v>
      </c>
    </row>
    <row r="170" spans="1:16">
      <c r="A170" s="221" t="str">
        <f t="shared" si="5"/>
        <v>501</v>
      </c>
      <c r="B170" s="215">
        <v>5016100000</v>
      </c>
      <c r="C170" s="244" t="s">
        <v>1391</v>
      </c>
      <c r="D170" s="245">
        <v>0</v>
      </c>
      <c r="E170" s="245">
        <v>5169.95</v>
      </c>
      <c r="F170" s="245">
        <v>0</v>
      </c>
      <c r="G170" s="245">
        <v>68637.039999999994</v>
      </c>
      <c r="H170" s="245">
        <v>0</v>
      </c>
      <c r="I170" s="250">
        <v>68637.039999999994</v>
      </c>
      <c r="J170" s="244" t="s">
        <v>1057</v>
      </c>
      <c r="L170" s="223">
        <f>SUMIF('VC detail'!C:C,B170,'VC detail'!E:E)</f>
        <v>0</v>
      </c>
      <c r="M170" s="223">
        <f t="shared" si="3"/>
        <v>68637.039999999994</v>
      </c>
      <c r="N170" s="223"/>
      <c r="O170" s="280">
        <f t="shared" si="4"/>
        <v>68637.039999999994</v>
      </c>
      <c r="P170" s="215" t="e">
        <f>VLOOKUP(B170,#REF!,6,0)</f>
        <v>#REF!</v>
      </c>
    </row>
    <row r="171" spans="1:16">
      <c r="A171" s="221" t="str">
        <f t="shared" si="5"/>
        <v>501</v>
      </c>
      <c r="B171" s="215">
        <v>5016200000</v>
      </c>
      <c r="C171" s="244" t="s">
        <v>1392</v>
      </c>
      <c r="D171" s="245">
        <v>0</v>
      </c>
      <c r="E171" s="245">
        <v>3182.57</v>
      </c>
      <c r="F171" s="245">
        <v>0</v>
      </c>
      <c r="G171" s="245">
        <v>44811.92</v>
      </c>
      <c r="H171" s="245">
        <v>0</v>
      </c>
      <c r="I171" s="250">
        <v>44811.92</v>
      </c>
      <c r="J171" s="244" t="s">
        <v>1058</v>
      </c>
      <c r="L171" s="223">
        <f>SUMIF('VC detail'!C:C,B171,'VC detail'!E:E)</f>
        <v>3344.1199931952506</v>
      </c>
      <c r="M171" s="223">
        <f t="shared" si="3"/>
        <v>41467.800006804748</v>
      </c>
      <c r="N171" s="223"/>
      <c r="O171" s="280">
        <f t="shared" si="4"/>
        <v>41467.800006804748</v>
      </c>
      <c r="P171" s="215" t="e">
        <f>VLOOKUP(B171,#REF!,6,0)</f>
        <v>#REF!</v>
      </c>
    </row>
    <row r="172" spans="1:16">
      <c r="A172" s="221" t="str">
        <f t="shared" si="5"/>
        <v>501</v>
      </c>
      <c r="B172" s="215">
        <v>5017110000</v>
      </c>
      <c r="C172" s="244" t="s">
        <v>1393</v>
      </c>
      <c r="D172" s="245">
        <v>0</v>
      </c>
      <c r="E172" s="245">
        <v>1827.38</v>
      </c>
      <c r="F172" s="245">
        <v>0</v>
      </c>
      <c r="G172" s="245">
        <v>17835.27</v>
      </c>
      <c r="H172" s="245">
        <v>0</v>
      </c>
      <c r="I172" s="250">
        <v>17835.27</v>
      </c>
      <c r="J172" s="244" t="s">
        <v>1059</v>
      </c>
      <c r="L172" s="223">
        <f>SUMIF('VC detail'!C:C,B172,'VC detail'!E:E)</f>
        <v>1094.9850232913784</v>
      </c>
      <c r="M172" s="223">
        <f t="shared" si="3"/>
        <v>16740.284976708623</v>
      </c>
      <c r="N172" s="223"/>
      <c r="O172" s="280">
        <f t="shared" si="4"/>
        <v>16740.284976708623</v>
      </c>
      <c r="P172" s="215" t="e">
        <f>VLOOKUP(B172,#REF!,6,0)</f>
        <v>#REF!</v>
      </c>
    </row>
    <row r="173" spans="1:16">
      <c r="A173" s="221" t="str">
        <f t="shared" si="5"/>
        <v>501</v>
      </c>
      <c r="B173" s="215">
        <v>5017120000</v>
      </c>
      <c r="C173" s="244" t="s">
        <v>1394</v>
      </c>
      <c r="D173" s="245">
        <v>0</v>
      </c>
      <c r="E173" s="245">
        <v>1.53</v>
      </c>
      <c r="F173" s="245">
        <v>0</v>
      </c>
      <c r="G173" s="245">
        <v>144.13</v>
      </c>
      <c r="H173" s="245">
        <v>0</v>
      </c>
      <c r="I173" s="250">
        <v>144.13</v>
      </c>
      <c r="J173" s="244" t="s">
        <v>1060</v>
      </c>
      <c r="L173" s="223">
        <f>SUMIF('VC detail'!C:C,B173,'VC detail'!E:E)</f>
        <v>10.75579922974136</v>
      </c>
      <c r="M173" s="223">
        <f t="shared" si="3"/>
        <v>133.37420077025862</v>
      </c>
      <c r="N173" s="223"/>
      <c r="O173" s="280">
        <f t="shared" si="4"/>
        <v>133.37420077025862</v>
      </c>
      <c r="P173" s="215" t="e">
        <f>VLOOKUP(B173,#REF!,6,0)</f>
        <v>#REF!</v>
      </c>
    </row>
    <row r="174" spans="1:16">
      <c r="A174" s="221" t="str">
        <f t="shared" si="5"/>
        <v>501</v>
      </c>
      <c r="B174" s="215">
        <v>5017130000</v>
      </c>
      <c r="C174" s="244" t="s">
        <v>1395</v>
      </c>
      <c r="D174" s="245">
        <v>0</v>
      </c>
      <c r="E174" s="245">
        <v>543.07000000000005</v>
      </c>
      <c r="F174" s="245">
        <v>0</v>
      </c>
      <c r="G174" s="245">
        <v>15559.63</v>
      </c>
      <c r="H174" s="245">
        <v>0</v>
      </c>
      <c r="I174" s="250">
        <v>15559.63</v>
      </c>
      <c r="J174" s="244" t="s">
        <v>1061</v>
      </c>
      <c r="L174" s="223">
        <f>SUMIF('VC detail'!C:C,B174,'VC detail'!E:E)</f>
        <v>971.4943286059156</v>
      </c>
      <c r="M174" s="223">
        <f t="shared" si="3"/>
        <v>14588.135671394084</v>
      </c>
      <c r="N174" s="223"/>
      <c r="O174" s="280">
        <f t="shared" si="4"/>
        <v>14588.135671394084</v>
      </c>
      <c r="P174" s="215" t="e">
        <f>VLOOKUP(B174,#REF!,6,0)</f>
        <v>#REF!</v>
      </c>
    </row>
    <row r="175" spans="1:16">
      <c r="A175" s="221" t="str">
        <f t="shared" si="5"/>
        <v>501</v>
      </c>
      <c r="B175" s="215">
        <v>5017500000</v>
      </c>
      <c r="C175" s="244" t="s">
        <v>1396</v>
      </c>
      <c r="D175" s="245">
        <v>0</v>
      </c>
      <c r="E175" s="245">
        <v>125.73</v>
      </c>
      <c r="F175" s="245">
        <v>0</v>
      </c>
      <c r="G175" s="245">
        <v>8098.44</v>
      </c>
      <c r="H175" s="245">
        <v>0</v>
      </c>
      <c r="I175" s="250">
        <v>8098.44</v>
      </c>
      <c r="J175" s="244" t="s">
        <v>1062</v>
      </c>
      <c r="L175" s="223">
        <f>SUMIF('VC detail'!C:C,B175,'VC detail'!E:E)</f>
        <v>492.27240752866817</v>
      </c>
      <c r="M175" s="223">
        <f t="shared" si="3"/>
        <v>7606.1675924713318</v>
      </c>
      <c r="N175" s="223"/>
      <c r="O175" s="280">
        <f t="shared" si="4"/>
        <v>7606.1675924713318</v>
      </c>
      <c r="P175" s="215" t="e">
        <f>VLOOKUP(B175,#REF!,6,0)</f>
        <v>#REF!</v>
      </c>
    </row>
    <row r="176" spans="1:16">
      <c r="A176" s="221" t="str">
        <f t="shared" si="5"/>
        <v>501</v>
      </c>
      <c r="B176" s="215">
        <v>5018100000</v>
      </c>
      <c r="C176" s="244" t="s">
        <v>1397</v>
      </c>
      <c r="D176" s="245">
        <v>0</v>
      </c>
      <c r="E176" s="245">
        <v>63.42</v>
      </c>
      <c r="F176" s="245">
        <v>0</v>
      </c>
      <c r="G176" s="245">
        <v>1328.33</v>
      </c>
      <c r="H176" s="245">
        <v>0</v>
      </c>
      <c r="I176" s="250">
        <v>1328.33</v>
      </c>
      <c r="J176" s="244" t="s">
        <v>1063</v>
      </c>
      <c r="L176" s="223">
        <f>SUMIF('VC detail'!C:C,B176,'VC detail'!E:E)</f>
        <v>0</v>
      </c>
      <c r="M176" s="223">
        <f t="shared" si="3"/>
        <v>1328.33</v>
      </c>
      <c r="N176" s="223"/>
      <c r="O176" s="280">
        <f t="shared" si="4"/>
        <v>1328.33</v>
      </c>
      <c r="P176" s="215" t="e">
        <f>VLOOKUP(B176,#REF!,6,0)</f>
        <v>#REF!</v>
      </c>
    </row>
    <row r="177" spans="1:16">
      <c r="A177" s="221" t="str">
        <f t="shared" si="5"/>
        <v>501</v>
      </c>
      <c r="B177" s="215">
        <v>5018200000</v>
      </c>
      <c r="C177" s="244" t="s">
        <v>1398</v>
      </c>
      <c r="D177" s="245">
        <v>0</v>
      </c>
      <c r="E177" s="245">
        <v>1190.3</v>
      </c>
      <c r="F177" s="245">
        <v>0</v>
      </c>
      <c r="G177" s="245">
        <v>12188.84</v>
      </c>
      <c r="H177" s="245">
        <v>0</v>
      </c>
      <c r="I177" s="250">
        <v>12188.84</v>
      </c>
      <c r="J177" s="244" t="s">
        <v>1064</v>
      </c>
      <c r="L177" s="223">
        <f>SUMIF('VC detail'!C:C,B177,'VC detail'!E:E)</f>
        <v>819.97496818914908</v>
      </c>
      <c r="M177" s="223">
        <f t="shared" si="3"/>
        <v>11368.86503181085</v>
      </c>
      <c r="N177" s="223"/>
      <c r="O177" s="280">
        <f t="shared" si="4"/>
        <v>11368.86503181085</v>
      </c>
      <c r="P177" s="215" t="e">
        <f>VLOOKUP(B177,#REF!,6,0)</f>
        <v>#REF!</v>
      </c>
    </row>
    <row r="178" spans="1:16">
      <c r="A178" s="221" t="str">
        <f t="shared" si="5"/>
        <v>501</v>
      </c>
      <c r="B178" s="215">
        <v>5019120000</v>
      </c>
      <c r="C178" s="244" t="s">
        <v>1399</v>
      </c>
      <c r="D178" s="245">
        <v>0</v>
      </c>
      <c r="E178" s="245">
        <v>423.35</v>
      </c>
      <c r="F178" s="245">
        <v>0</v>
      </c>
      <c r="G178" s="245">
        <v>5735.18</v>
      </c>
      <c r="H178" s="245">
        <v>0</v>
      </c>
      <c r="I178" s="250">
        <v>5735.18</v>
      </c>
      <c r="J178" s="244" t="s">
        <v>1065</v>
      </c>
      <c r="L178" s="223">
        <f>SUMIF('VC detail'!C:C,B178,'VC detail'!E:E)</f>
        <v>0</v>
      </c>
      <c r="M178" s="223">
        <f t="shared" si="3"/>
        <v>5735.18</v>
      </c>
      <c r="N178" s="223"/>
      <c r="O178" s="280">
        <f t="shared" si="4"/>
        <v>5735.18</v>
      </c>
      <c r="P178" s="215" t="e">
        <f>VLOOKUP(B178,#REF!,6,0)</f>
        <v>#REF!</v>
      </c>
    </row>
    <row r="179" spans="1:16">
      <c r="A179" s="221" t="str">
        <f t="shared" si="5"/>
        <v>501</v>
      </c>
      <c r="B179" s="215">
        <v>5019200000</v>
      </c>
      <c r="C179" s="244" t="s">
        <v>1400</v>
      </c>
      <c r="D179" s="245">
        <v>0</v>
      </c>
      <c r="E179" s="245">
        <v>1236.67</v>
      </c>
      <c r="F179" s="245">
        <v>0</v>
      </c>
      <c r="G179" s="245">
        <v>19551.41</v>
      </c>
      <c r="H179" s="245">
        <v>0</v>
      </c>
      <c r="I179" s="250">
        <v>19551.41</v>
      </c>
      <c r="J179" s="244" t="s">
        <v>1066</v>
      </c>
      <c r="L179" s="223">
        <f>SUMIF('VC detail'!C:C,B179,'VC detail'!E:E)</f>
        <v>0</v>
      </c>
      <c r="M179" s="223">
        <f t="shared" si="3"/>
        <v>19551.41</v>
      </c>
      <c r="N179" s="223"/>
      <c r="O179" s="280">
        <f t="shared" si="4"/>
        <v>19551.41</v>
      </c>
      <c r="P179" s="215" t="e">
        <f>VLOOKUP(B179,#REF!,6,0)</f>
        <v>#REF!</v>
      </c>
    </row>
    <row r="180" spans="1:16">
      <c r="A180" s="221" t="str">
        <f t="shared" si="5"/>
        <v>501</v>
      </c>
      <c r="B180" s="215">
        <v>5019300000</v>
      </c>
      <c r="C180" s="244" t="s">
        <v>1401</v>
      </c>
      <c r="D180" s="245">
        <v>0</v>
      </c>
      <c r="E180" s="245">
        <v>8.8000000000000007</v>
      </c>
      <c r="F180" s="245">
        <v>0</v>
      </c>
      <c r="G180" s="245">
        <v>668.23</v>
      </c>
      <c r="H180" s="245">
        <v>0</v>
      </c>
      <c r="I180" s="250">
        <v>668.23</v>
      </c>
      <c r="J180" s="244" t="s">
        <v>1067</v>
      </c>
      <c r="L180" s="223">
        <f>SUMIF('VC detail'!C:C,B180,'VC detail'!E:E)</f>
        <v>49.867118013529939</v>
      </c>
      <c r="M180" s="223">
        <f t="shared" si="3"/>
        <v>618.36288198647003</v>
      </c>
      <c r="N180" s="223"/>
      <c r="O180" s="280">
        <f t="shared" si="4"/>
        <v>618.36288198647003</v>
      </c>
      <c r="P180" s="215" t="e">
        <f>VLOOKUP(B180,#REF!,6,0)</f>
        <v>#REF!</v>
      </c>
    </row>
    <row r="181" spans="1:16">
      <c r="A181" s="221" t="str">
        <f t="shared" si="5"/>
        <v>501</v>
      </c>
      <c r="B181" s="215">
        <v>5019400000</v>
      </c>
      <c r="C181" s="244" t="s">
        <v>1402</v>
      </c>
      <c r="D181" s="245">
        <v>0</v>
      </c>
      <c r="E181" s="245">
        <v>50.09</v>
      </c>
      <c r="F181" s="245">
        <v>0</v>
      </c>
      <c r="G181" s="245">
        <v>1018.54</v>
      </c>
      <c r="H181" s="245">
        <v>0</v>
      </c>
      <c r="I181" s="250">
        <v>1018.54</v>
      </c>
      <c r="J181" s="244" t="s">
        <v>1068</v>
      </c>
      <c r="L181" s="223">
        <f>SUMIF('VC detail'!C:C,B181,'VC detail'!E:E)</f>
        <v>0</v>
      </c>
      <c r="M181" s="223">
        <f t="shared" si="3"/>
        <v>1018.54</v>
      </c>
      <c r="N181" s="223"/>
      <c r="O181" s="280">
        <f t="shared" si="4"/>
        <v>1018.54</v>
      </c>
      <c r="P181" s="215" t="e">
        <f>VLOOKUP(B181,#REF!,6,0)</f>
        <v>#REF!</v>
      </c>
    </row>
    <row r="182" spans="1:16">
      <c r="A182" s="221" t="str">
        <f t="shared" si="5"/>
        <v>502</v>
      </c>
      <c r="B182" s="215">
        <v>5021000000</v>
      </c>
      <c r="C182" s="244" t="s">
        <v>1403</v>
      </c>
      <c r="D182" s="245">
        <v>0</v>
      </c>
      <c r="E182" s="245">
        <v>6828.18</v>
      </c>
      <c r="F182" s="245">
        <v>0</v>
      </c>
      <c r="G182" s="245">
        <v>84875.31</v>
      </c>
      <c r="H182" s="245">
        <v>0</v>
      </c>
      <c r="I182" s="250">
        <v>84875.31</v>
      </c>
      <c r="J182" s="244" t="s">
        <v>1069</v>
      </c>
      <c r="L182" s="223">
        <f>SUMIF('VC detail'!C:C,B182,'VC detail'!E:E)</f>
        <v>15142.31</v>
      </c>
      <c r="M182" s="223">
        <f t="shared" si="3"/>
        <v>69733</v>
      </c>
      <c r="N182" s="223"/>
      <c r="O182" s="280">
        <f t="shared" si="4"/>
        <v>69733</v>
      </c>
      <c r="P182" s="215" t="e">
        <f>VLOOKUP(B182,#REF!,6,0)</f>
        <v>#REF!</v>
      </c>
    </row>
    <row r="183" spans="1:16">
      <c r="A183" s="221" t="str">
        <f t="shared" si="5"/>
        <v>502</v>
      </c>
      <c r="B183" s="215">
        <v>5022000000</v>
      </c>
      <c r="C183" s="244" t="s">
        <v>1404</v>
      </c>
      <c r="D183" s="245">
        <v>0</v>
      </c>
      <c r="E183" s="245">
        <v>8071.78</v>
      </c>
      <c r="F183" s="245">
        <v>0</v>
      </c>
      <c r="G183" s="245">
        <v>74655.850000000006</v>
      </c>
      <c r="H183" s="245">
        <v>0</v>
      </c>
      <c r="I183" s="250">
        <v>74655.850000000006</v>
      </c>
      <c r="J183" s="244" t="s">
        <v>1070</v>
      </c>
      <c r="L183" s="223">
        <f>SUMIF('VC detail'!C:C,B183,'VC detail'!E:E)</f>
        <v>18074.54</v>
      </c>
      <c r="M183" s="223">
        <f t="shared" si="3"/>
        <v>56581.310000000005</v>
      </c>
      <c r="N183" s="223"/>
      <c r="O183" s="280">
        <f t="shared" si="4"/>
        <v>56581.310000000005</v>
      </c>
      <c r="P183" s="215" t="e">
        <f>VLOOKUP(B183,#REF!,6,0)</f>
        <v>#REF!</v>
      </c>
    </row>
    <row r="184" spans="1:16">
      <c r="A184" s="221" t="str">
        <f t="shared" si="5"/>
        <v>502</v>
      </c>
      <c r="B184" s="215">
        <v>5023000000</v>
      </c>
      <c r="C184" s="244" t="s">
        <v>1405</v>
      </c>
      <c r="D184" s="245">
        <v>0</v>
      </c>
      <c r="E184" s="245">
        <v>0</v>
      </c>
      <c r="F184" s="245">
        <v>0</v>
      </c>
      <c r="G184" s="245">
        <v>-103.85</v>
      </c>
      <c r="H184" s="245">
        <v>0</v>
      </c>
      <c r="I184" s="250">
        <v>-103.85</v>
      </c>
      <c r="J184" s="244" t="s">
        <v>1071</v>
      </c>
      <c r="L184" s="223">
        <f>SUMIF('VC detail'!C:C,B184,'VC detail'!E:E)</f>
        <v>0</v>
      </c>
      <c r="M184" s="223">
        <f t="shared" si="3"/>
        <v>-103.85</v>
      </c>
      <c r="N184" s="223"/>
      <c r="O184" s="280">
        <f t="shared" si="4"/>
        <v>-103.85</v>
      </c>
      <c r="P184" s="215" t="e">
        <f>VLOOKUP(B184,#REF!,6,0)</f>
        <v>#REF!</v>
      </c>
    </row>
    <row r="185" spans="1:16">
      <c r="A185" s="221" t="str">
        <f t="shared" si="5"/>
        <v>502</v>
      </c>
      <c r="B185" s="215">
        <v>5024000000</v>
      </c>
      <c r="C185" s="244" t="s">
        <v>1406</v>
      </c>
      <c r="D185" s="245">
        <v>0</v>
      </c>
      <c r="E185" s="245">
        <v>22060.05</v>
      </c>
      <c r="F185" s="245">
        <v>0</v>
      </c>
      <c r="G185" s="245">
        <v>186641.28</v>
      </c>
      <c r="H185" s="245">
        <v>0</v>
      </c>
      <c r="I185" s="250">
        <v>186641.28</v>
      </c>
      <c r="J185" s="244" t="s">
        <v>1072</v>
      </c>
      <c r="L185" s="223">
        <f>SUMIF('VC detail'!C:C,B185,'VC detail'!E:E)</f>
        <v>25281.81</v>
      </c>
      <c r="M185" s="223">
        <f t="shared" si="3"/>
        <v>161359.47</v>
      </c>
      <c r="N185" s="223"/>
      <c r="O185" s="280">
        <f t="shared" si="4"/>
        <v>161359.47</v>
      </c>
      <c r="P185" s="215" t="e">
        <f>VLOOKUP(B185,#REF!,6,0)</f>
        <v>#REF!</v>
      </c>
    </row>
    <row r="186" spans="1:16">
      <c r="A186" s="221" t="str">
        <f t="shared" si="5"/>
        <v>504</v>
      </c>
      <c r="B186" s="215">
        <v>5041000000</v>
      </c>
      <c r="C186" s="244" t="s">
        <v>1407</v>
      </c>
      <c r="D186" s="245">
        <v>0</v>
      </c>
      <c r="E186" s="245">
        <v>0</v>
      </c>
      <c r="F186" s="245">
        <v>0</v>
      </c>
      <c r="G186" s="245">
        <v>72677.8</v>
      </c>
      <c r="H186" s="245">
        <v>0</v>
      </c>
      <c r="I186" s="250">
        <v>72677.8</v>
      </c>
      <c r="J186" s="244" t="s">
        <v>1073</v>
      </c>
      <c r="L186" s="223">
        <f>SUMIF('VC detail'!C:C,B186,'VC detail'!E:E)</f>
        <v>72677.8</v>
      </c>
      <c r="M186" s="223">
        <f t="shared" si="3"/>
        <v>0</v>
      </c>
      <c r="N186" s="223"/>
      <c r="O186" s="280">
        <f t="shared" si="4"/>
        <v>0</v>
      </c>
      <c r="P186" s="215" t="e">
        <f>VLOOKUP(B186,#REF!,6,0)</f>
        <v>#REF!</v>
      </c>
    </row>
    <row r="187" spans="1:16">
      <c r="A187" s="221" t="str">
        <f t="shared" si="5"/>
        <v>511</v>
      </c>
      <c r="B187" s="215">
        <v>5111000000</v>
      </c>
      <c r="C187" s="244" t="s">
        <v>1408</v>
      </c>
      <c r="D187" s="245">
        <v>0</v>
      </c>
      <c r="E187" s="245">
        <v>634.6</v>
      </c>
      <c r="F187" s="245">
        <v>0</v>
      </c>
      <c r="G187" s="245">
        <v>15211.1</v>
      </c>
      <c r="H187" s="245">
        <v>0</v>
      </c>
      <c r="I187" s="250">
        <v>15211.1</v>
      </c>
      <c r="J187" s="244" t="s">
        <v>1074</v>
      </c>
      <c r="L187" s="223">
        <f>SUMIF('VC detail'!C:C,B187,'VC detail'!E:E)</f>
        <v>1135.1386780234429</v>
      </c>
      <c r="M187" s="223">
        <f t="shared" si="3"/>
        <v>14075.961321976558</v>
      </c>
      <c r="N187" s="223"/>
      <c r="O187" s="280">
        <f t="shared" si="4"/>
        <v>14075.961321976558</v>
      </c>
      <c r="P187" s="215" t="e">
        <f>VLOOKUP(B187,#REF!,6,0)</f>
        <v>#REF!</v>
      </c>
    </row>
    <row r="188" spans="1:16">
      <c r="A188" s="221" t="str">
        <f t="shared" si="5"/>
        <v>511</v>
      </c>
      <c r="B188" s="215">
        <v>5112000000</v>
      </c>
      <c r="C188" s="244" t="s">
        <v>1409</v>
      </c>
      <c r="D188" s="245">
        <v>0</v>
      </c>
      <c r="E188" s="245">
        <v>332.45</v>
      </c>
      <c r="F188" s="245">
        <v>0</v>
      </c>
      <c r="G188" s="245">
        <v>25151.279999999999</v>
      </c>
      <c r="H188" s="245">
        <v>0</v>
      </c>
      <c r="I188" s="250">
        <v>25151.279999999999</v>
      </c>
      <c r="J188" s="244" t="s">
        <v>1075</v>
      </c>
      <c r="L188" s="223">
        <f>SUMIF('VC detail'!C:C,B188,'VC detail'!E:E)</f>
        <v>0</v>
      </c>
      <c r="M188" s="223">
        <f t="shared" si="3"/>
        <v>25151.279999999999</v>
      </c>
      <c r="N188" s="223"/>
      <c r="O188" s="280">
        <f t="shared" si="4"/>
        <v>25151.279999999999</v>
      </c>
      <c r="P188" s="215" t="e">
        <f>VLOOKUP(B188,#REF!,6,0)</f>
        <v>#REF!</v>
      </c>
    </row>
    <row r="189" spans="1:16">
      <c r="A189" s="221" t="str">
        <f t="shared" si="5"/>
        <v>511</v>
      </c>
      <c r="B189" s="215">
        <v>5113000000</v>
      </c>
      <c r="C189" s="244" t="s">
        <v>1410</v>
      </c>
      <c r="D189" s="245">
        <v>0</v>
      </c>
      <c r="E189" s="245">
        <v>6220.99</v>
      </c>
      <c r="F189" s="245">
        <v>0</v>
      </c>
      <c r="G189" s="245">
        <v>29043.98</v>
      </c>
      <c r="H189" s="245">
        <v>0</v>
      </c>
      <c r="I189" s="250">
        <v>29043.98</v>
      </c>
      <c r="J189" s="244" t="s">
        <v>1076</v>
      </c>
      <c r="L189" s="223">
        <f>SUMIF('VC detail'!C:C,B189,'VC detail'!E:E)</f>
        <v>0</v>
      </c>
      <c r="M189" s="223">
        <f t="shared" si="3"/>
        <v>29043.98</v>
      </c>
      <c r="N189" s="223"/>
      <c r="O189" s="280">
        <f t="shared" si="4"/>
        <v>29043.98</v>
      </c>
      <c r="P189" s="215" t="e">
        <f>VLOOKUP(B189,#REF!,6,0)</f>
        <v>#REF!</v>
      </c>
    </row>
    <row r="190" spans="1:16">
      <c r="A190" s="221" t="str">
        <f t="shared" si="5"/>
        <v>511</v>
      </c>
      <c r="B190" s="215">
        <v>5114000000</v>
      </c>
      <c r="C190" s="244" t="s">
        <v>1411</v>
      </c>
      <c r="D190" s="245">
        <v>0</v>
      </c>
      <c r="E190" s="245">
        <v>418</v>
      </c>
      <c r="F190" s="245">
        <v>0</v>
      </c>
      <c r="G190" s="245">
        <v>6781.55</v>
      </c>
      <c r="H190" s="245">
        <v>0</v>
      </c>
      <c r="I190" s="250">
        <v>6781.55</v>
      </c>
      <c r="J190" s="244" t="s">
        <v>1077</v>
      </c>
      <c r="L190" s="223">
        <f>SUMIF('VC detail'!C:C,B190,'VC detail'!E:E)</f>
        <v>506.07777885556459</v>
      </c>
      <c r="M190" s="223">
        <f t="shared" si="3"/>
        <v>6275.4722211444359</v>
      </c>
      <c r="N190" s="223"/>
      <c r="O190" s="280">
        <f t="shared" si="4"/>
        <v>6275.4722211444359</v>
      </c>
      <c r="P190" s="215" t="e">
        <f>VLOOKUP(B190,#REF!,6,0)</f>
        <v>#REF!</v>
      </c>
    </row>
    <row r="191" spans="1:16">
      <c r="A191" s="221" t="str">
        <f t="shared" si="5"/>
        <v>512</v>
      </c>
      <c r="B191" s="215">
        <v>5121100000</v>
      </c>
      <c r="C191" s="244" t="s">
        <v>1412</v>
      </c>
      <c r="D191" s="245">
        <v>0</v>
      </c>
      <c r="E191" s="245">
        <v>0</v>
      </c>
      <c r="F191" s="245">
        <v>0</v>
      </c>
      <c r="G191" s="245">
        <v>331.04</v>
      </c>
      <c r="H191" s="245">
        <v>0</v>
      </c>
      <c r="I191" s="250">
        <v>331.04</v>
      </c>
      <c r="J191" s="244" t="s">
        <v>1078</v>
      </c>
      <c r="L191" s="223">
        <f>SUMIF('VC detail'!C:C,B191,'VC detail'!E:E)</f>
        <v>0</v>
      </c>
      <c r="M191" s="223">
        <f t="shared" si="3"/>
        <v>331.04</v>
      </c>
      <c r="N191" s="223"/>
      <c r="O191" s="280">
        <f t="shared" si="4"/>
        <v>331.04</v>
      </c>
      <c r="P191" s="215" t="e">
        <f>VLOOKUP(B191,#REF!,6,0)</f>
        <v>#REF!</v>
      </c>
    </row>
    <row r="192" spans="1:16">
      <c r="A192" s="221" t="str">
        <f t="shared" si="5"/>
        <v>512</v>
      </c>
      <c r="B192" s="215">
        <v>5121200000</v>
      </c>
      <c r="C192" s="244" t="s">
        <v>1413</v>
      </c>
      <c r="D192" s="245">
        <v>0</v>
      </c>
      <c r="E192" s="245">
        <v>1.02</v>
      </c>
      <c r="F192" s="245">
        <v>0</v>
      </c>
      <c r="G192" s="245">
        <v>3844.56</v>
      </c>
      <c r="H192" s="245">
        <v>0</v>
      </c>
      <c r="I192" s="250">
        <v>3844.56</v>
      </c>
      <c r="J192" s="244" t="s">
        <v>1079</v>
      </c>
      <c r="L192" s="223">
        <f>SUMIF('VC detail'!C:C,B192,'VC detail'!E:E)</f>
        <v>0</v>
      </c>
      <c r="M192" s="223">
        <f t="shared" si="3"/>
        <v>3844.56</v>
      </c>
      <c r="N192" s="223"/>
      <c r="O192" s="280">
        <f t="shared" si="4"/>
        <v>3844.56</v>
      </c>
      <c r="P192" s="215" t="e">
        <f>VLOOKUP(B192,#REF!,6,0)</f>
        <v>#REF!</v>
      </c>
    </row>
    <row r="193" spans="1:16">
      <c r="A193" s="221" t="str">
        <f t="shared" si="5"/>
        <v>512</v>
      </c>
      <c r="B193" s="215">
        <v>5123100000</v>
      </c>
      <c r="C193" s="244" t="s">
        <v>1414</v>
      </c>
      <c r="D193" s="245">
        <v>0</v>
      </c>
      <c r="E193" s="245">
        <v>311.2</v>
      </c>
      <c r="F193" s="245">
        <v>0</v>
      </c>
      <c r="G193" s="245">
        <v>4513.2</v>
      </c>
      <c r="H193" s="245">
        <v>0</v>
      </c>
      <c r="I193" s="250">
        <v>4513.2</v>
      </c>
      <c r="J193" s="244" t="s">
        <v>1080</v>
      </c>
      <c r="L193" s="223">
        <f>SUMIF('VC detail'!C:C,B193,'VC detail'!E:E)</f>
        <v>0</v>
      </c>
      <c r="M193" s="223">
        <f t="shared" si="3"/>
        <v>4513.2</v>
      </c>
      <c r="N193" s="223"/>
      <c r="O193" s="280">
        <f t="shared" si="4"/>
        <v>4513.2</v>
      </c>
      <c r="P193" s="215" t="e">
        <f>VLOOKUP(B193,#REF!,6,0)</f>
        <v>#REF!</v>
      </c>
    </row>
    <row r="194" spans="1:16">
      <c r="A194" s="221" t="str">
        <f t="shared" si="5"/>
        <v>512</v>
      </c>
      <c r="B194" s="215">
        <v>5123200000</v>
      </c>
      <c r="C194" s="244" t="s">
        <v>1415</v>
      </c>
      <c r="D194" s="245">
        <v>0</v>
      </c>
      <c r="E194" s="245">
        <v>34.6</v>
      </c>
      <c r="F194" s="245">
        <v>0</v>
      </c>
      <c r="G194" s="245">
        <v>582.6</v>
      </c>
      <c r="H194" s="245">
        <v>0</v>
      </c>
      <c r="I194" s="250">
        <v>582.6</v>
      </c>
      <c r="J194" s="244" t="s">
        <v>1081</v>
      </c>
      <c r="L194" s="223">
        <f>SUMIF('VC detail'!C:C,B194,'VC detail'!E:E)</f>
        <v>0</v>
      </c>
      <c r="M194" s="223">
        <f t="shared" si="3"/>
        <v>582.6</v>
      </c>
      <c r="N194" s="223"/>
      <c r="O194" s="280">
        <f t="shared" si="4"/>
        <v>582.6</v>
      </c>
      <c r="P194" s="215" t="e">
        <f>VLOOKUP(B194,#REF!,6,0)</f>
        <v>#REF!</v>
      </c>
    </row>
    <row r="195" spans="1:16">
      <c r="A195" s="221" t="str">
        <f t="shared" si="5"/>
        <v>512</v>
      </c>
      <c r="B195" s="215">
        <v>5124100000</v>
      </c>
      <c r="C195" s="244" t="s">
        <v>1416</v>
      </c>
      <c r="D195" s="245">
        <v>0</v>
      </c>
      <c r="E195" s="245">
        <v>210</v>
      </c>
      <c r="F195" s="245">
        <v>0</v>
      </c>
      <c r="G195" s="245">
        <v>528.1</v>
      </c>
      <c r="H195" s="245">
        <v>0</v>
      </c>
      <c r="I195" s="250">
        <v>528.1</v>
      </c>
      <c r="J195" s="244" t="s">
        <v>1082</v>
      </c>
      <c r="L195" s="223">
        <f>SUMIF('VC detail'!C:C,B195,'VC detail'!E:E)</f>
        <v>0</v>
      </c>
      <c r="M195" s="223">
        <f t="shared" si="3"/>
        <v>528.1</v>
      </c>
      <c r="N195" s="223"/>
      <c r="O195" s="280">
        <f t="shared" si="4"/>
        <v>528.1</v>
      </c>
      <c r="P195" s="215" t="e">
        <f>VLOOKUP(B195,#REF!,6,0)</f>
        <v>#REF!</v>
      </c>
    </row>
    <row r="196" spans="1:16">
      <c r="A196" s="221" t="str">
        <f t="shared" si="5"/>
        <v>512</v>
      </c>
      <c r="B196" s="215">
        <v>5124200000</v>
      </c>
      <c r="C196" s="244" t="s">
        <v>1417</v>
      </c>
      <c r="D196" s="245">
        <v>0</v>
      </c>
      <c r="E196" s="245">
        <v>305</v>
      </c>
      <c r="F196" s="245">
        <v>0</v>
      </c>
      <c r="G196" s="245">
        <v>783.03</v>
      </c>
      <c r="H196" s="245">
        <v>0</v>
      </c>
      <c r="I196" s="250">
        <v>783.03</v>
      </c>
      <c r="J196" s="244" t="s">
        <v>1083</v>
      </c>
      <c r="L196" s="223">
        <f>SUMIF('VC detail'!C:C,B196,'VC detail'!E:E)</f>
        <v>0</v>
      </c>
      <c r="M196" s="223">
        <f t="shared" si="3"/>
        <v>783.03</v>
      </c>
      <c r="N196" s="223"/>
      <c r="O196" s="280">
        <f t="shared" si="4"/>
        <v>783.03</v>
      </c>
      <c r="P196" s="215" t="e">
        <f>VLOOKUP(B196,#REF!,6,0)</f>
        <v>#REF!</v>
      </c>
    </row>
    <row r="197" spans="1:16">
      <c r="A197" s="221" t="str">
        <f t="shared" si="5"/>
        <v>513</v>
      </c>
      <c r="B197" s="215">
        <v>5131000000</v>
      </c>
      <c r="C197" s="244" t="s">
        <v>1418</v>
      </c>
      <c r="D197" s="245">
        <v>0</v>
      </c>
      <c r="E197" s="245">
        <v>185.86</v>
      </c>
      <c r="F197" s="245">
        <v>0</v>
      </c>
      <c r="G197" s="245">
        <v>1942.95</v>
      </c>
      <c r="H197" s="245">
        <v>0</v>
      </c>
      <c r="I197" s="250">
        <v>1942.95</v>
      </c>
      <c r="J197" s="244" t="s">
        <v>1084</v>
      </c>
      <c r="L197" s="223">
        <f>SUMIF('VC detail'!C:C,B197,'VC detail'!E:E)</f>
        <v>0</v>
      </c>
      <c r="M197" s="223">
        <f t="shared" si="3"/>
        <v>1942.95</v>
      </c>
      <c r="N197" s="223"/>
      <c r="O197" s="280">
        <f t="shared" si="4"/>
        <v>1942.95</v>
      </c>
      <c r="P197" s="215" t="e">
        <f>VLOOKUP(B197,#REF!,6,0)</f>
        <v>#REF!</v>
      </c>
    </row>
    <row r="198" spans="1:16">
      <c r="A198" s="221" t="str">
        <f t="shared" si="5"/>
        <v>518</v>
      </c>
      <c r="B198" s="215">
        <v>5181000000</v>
      </c>
      <c r="C198" s="244" t="s">
        <v>1419</v>
      </c>
      <c r="D198" s="245">
        <v>0</v>
      </c>
      <c r="E198" s="245">
        <v>263.08</v>
      </c>
      <c r="F198" s="245">
        <v>0</v>
      </c>
      <c r="G198" s="245">
        <v>3439.48</v>
      </c>
      <c r="H198" s="245">
        <v>0</v>
      </c>
      <c r="I198" s="250">
        <v>3439.48</v>
      </c>
      <c r="J198" s="244" t="s">
        <v>1085</v>
      </c>
      <c r="L198" s="223">
        <f>SUMIF('VC detail'!C:C,B198,'VC detail'!E:E)</f>
        <v>1566.91</v>
      </c>
      <c r="M198" s="223">
        <f t="shared" si="3"/>
        <v>1872.57</v>
      </c>
      <c r="N198" s="223"/>
      <c r="O198" s="280">
        <f t="shared" si="4"/>
        <v>1872.57</v>
      </c>
      <c r="P198" s="215" t="e">
        <f>VLOOKUP(B198,#REF!,6,0)</f>
        <v>#REF!</v>
      </c>
    </row>
    <row r="199" spans="1:16">
      <c r="A199" s="221" t="str">
        <f t="shared" si="5"/>
        <v>518</v>
      </c>
      <c r="B199" s="215">
        <v>5182000000</v>
      </c>
      <c r="C199" s="244" t="s">
        <v>1420</v>
      </c>
      <c r="D199" s="245">
        <v>0</v>
      </c>
      <c r="E199" s="245">
        <v>-7829.77</v>
      </c>
      <c r="F199" s="245">
        <v>0</v>
      </c>
      <c r="G199" s="245">
        <v>28552.34</v>
      </c>
      <c r="H199" s="245">
        <v>0</v>
      </c>
      <c r="I199" s="250">
        <v>28552.34</v>
      </c>
      <c r="J199" s="244" t="s">
        <v>1086</v>
      </c>
      <c r="L199" s="223">
        <f>SUMIF('VC detail'!C:C,B199,'VC detail'!E:E)</f>
        <v>0</v>
      </c>
      <c r="M199" s="223">
        <f t="shared" si="3"/>
        <v>28552.34</v>
      </c>
      <c r="N199" s="223"/>
      <c r="O199" s="280">
        <f t="shared" si="4"/>
        <v>28552.34</v>
      </c>
      <c r="P199" s="215" t="e">
        <f>VLOOKUP(B199,#REF!,6,0)</f>
        <v>#REF!</v>
      </c>
    </row>
    <row r="200" spans="1:16">
      <c r="A200" s="221" t="str">
        <f t="shared" si="5"/>
        <v>518</v>
      </c>
      <c r="B200" s="215">
        <v>5182100000</v>
      </c>
      <c r="C200" s="244" t="s">
        <v>1421</v>
      </c>
      <c r="D200" s="245">
        <v>0</v>
      </c>
      <c r="E200" s="245">
        <v>10000</v>
      </c>
      <c r="F200" s="245">
        <v>0</v>
      </c>
      <c r="G200" s="245">
        <v>10000</v>
      </c>
      <c r="H200" s="245">
        <v>0</v>
      </c>
      <c r="I200" s="250">
        <v>10000</v>
      </c>
      <c r="J200" s="244" t="s">
        <v>1087</v>
      </c>
      <c r="L200" s="223">
        <f>SUMIF('VC detail'!C:C,B200,'VC detail'!E:E)</f>
        <v>746.25679801161175</v>
      </c>
      <c r="M200" s="223">
        <f t="shared" si="3"/>
        <v>9253.743201988389</v>
      </c>
      <c r="N200" s="223"/>
      <c r="O200" s="280">
        <f t="shared" si="4"/>
        <v>9253.743201988389</v>
      </c>
      <c r="P200" s="215" t="e">
        <f>VLOOKUP(B200,#REF!,6,0)</f>
        <v>#REF!</v>
      </c>
    </row>
    <row r="201" spans="1:16">
      <c r="A201" s="221" t="str">
        <f t="shared" si="5"/>
        <v>518</v>
      </c>
      <c r="B201" s="215">
        <v>5182200000</v>
      </c>
      <c r="C201" s="244" t="s">
        <v>1422</v>
      </c>
      <c r="D201" s="245">
        <v>0</v>
      </c>
      <c r="E201" s="245">
        <v>1000</v>
      </c>
      <c r="F201" s="245">
        <v>0</v>
      </c>
      <c r="G201" s="245">
        <v>1000</v>
      </c>
      <c r="H201" s="245">
        <v>0</v>
      </c>
      <c r="I201" s="250">
        <v>1000</v>
      </c>
      <c r="J201" s="244" t="s">
        <v>1088</v>
      </c>
      <c r="L201" s="223">
        <f>SUMIF('VC detail'!C:C,B201,'VC detail'!E:E)</f>
        <v>0</v>
      </c>
      <c r="M201" s="223">
        <f t="shared" si="3"/>
        <v>1000</v>
      </c>
      <c r="N201" s="223"/>
      <c r="O201" s="280">
        <f t="shared" si="4"/>
        <v>1000</v>
      </c>
      <c r="P201" s="215" t="e">
        <f>VLOOKUP(B201,#REF!,6,0)</f>
        <v>#REF!</v>
      </c>
    </row>
    <row r="202" spans="1:16">
      <c r="A202" s="221" t="str">
        <f t="shared" si="5"/>
        <v>518</v>
      </c>
      <c r="B202" s="215">
        <v>5182300000</v>
      </c>
      <c r="C202" s="244" t="s">
        <v>1423</v>
      </c>
      <c r="D202" s="245">
        <v>0</v>
      </c>
      <c r="E202" s="245">
        <v>28217.52</v>
      </c>
      <c r="F202" s="245">
        <v>0</v>
      </c>
      <c r="G202" s="245">
        <v>50217.52</v>
      </c>
      <c r="H202" s="245">
        <v>0</v>
      </c>
      <c r="I202" s="250">
        <v>50217.52</v>
      </c>
      <c r="J202" s="244" t="s">
        <v>1089</v>
      </c>
      <c r="L202" s="223">
        <f>SUMIF('VC detail'!C:C,B202,'VC detail'!E:E)</f>
        <v>0</v>
      </c>
      <c r="M202" s="223">
        <f t="shared" si="3"/>
        <v>50217.52</v>
      </c>
      <c r="N202" s="223"/>
      <c r="O202" s="280">
        <f t="shared" si="4"/>
        <v>50217.52</v>
      </c>
      <c r="P202" s="275" t="s">
        <v>1651</v>
      </c>
    </row>
    <row r="203" spans="1:16">
      <c r="A203" s="221" t="str">
        <f t="shared" si="5"/>
        <v>518</v>
      </c>
      <c r="B203" s="215">
        <v>5182330000</v>
      </c>
      <c r="C203" s="244" t="s">
        <v>1424</v>
      </c>
      <c r="D203" s="245">
        <v>0</v>
      </c>
      <c r="E203" s="245">
        <v>5348.89</v>
      </c>
      <c r="F203" s="245">
        <v>0</v>
      </c>
      <c r="G203" s="245">
        <v>9440.89</v>
      </c>
      <c r="H203" s="245">
        <v>0</v>
      </c>
      <c r="I203" s="250">
        <v>9440.89</v>
      </c>
      <c r="J203" s="244" t="s">
        <v>1090</v>
      </c>
      <c r="L203" s="223">
        <f>SUMIF('VC detail'!C:C,B203,'VC detail'!E:E)</f>
        <v>0</v>
      </c>
      <c r="M203" s="223">
        <f t="shared" si="3"/>
        <v>9440.89</v>
      </c>
      <c r="N203" s="223"/>
      <c r="O203" s="280">
        <f t="shared" si="4"/>
        <v>9440.89</v>
      </c>
      <c r="P203" s="275" t="s">
        <v>1651</v>
      </c>
    </row>
    <row r="204" spans="1:16">
      <c r="A204" s="221" t="str">
        <f t="shared" si="5"/>
        <v>518</v>
      </c>
      <c r="B204" s="215">
        <v>5183100000</v>
      </c>
      <c r="C204" s="244" t="s">
        <v>1425</v>
      </c>
      <c r="D204" s="245">
        <v>0</v>
      </c>
      <c r="E204" s="245">
        <v>2148.8200000000002</v>
      </c>
      <c r="F204" s="245">
        <v>0</v>
      </c>
      <c r="G204" s="245">
        <v>30928.28</v>
      </c>
      <c r="H204" s="245">
        <v>0</v>
      </c>
      <c r="I204" s="250">
        <v>30928.28</v>
      </c>
      <c r="J204" s="244" t="s">
        <v>1091</v>
      </c>
      <c r="L204" s="223">
        <f>SUMIF('VC detail'!C:C,B204,'VC detail'!E:E)</f>
        <v>0</v>
      </c>
      <c r="M204" s="223">
        <f t="shared" si="3"/>
        <v>30928.28</v>
      </c>
      <c r="N204" s="223"/>
      <c r="O204" s="280">
        <f t="shared" si="4"/>
        <v>30928.28</v>
      </c>
      <c r="P204" s="215" t="e">
        <f>VLOOKUP(B204,#REF!,6,0)</f>
        <v>#REF!</v>
      </c>
    </row>
    <row r="205" spans="1:16">
      <c r="A205" s="221" t="str">
        <f t="shared" si="5"/>
        <v>518</v>
      </c>
      <c r="B205" s="215">
        <v>5185000000</v>
      </c>
      <c r="C205" s="244" t="s">
        <v>1426</v>
      </c>
      <c r="D205" s="245">
        <v>0</v>
      </c>
      <c r="E205" s="245">
        <v>3507.47</v>
      </c>
      <c r="F205" s="245">
        <v>0</v>
      </c>
      <c r="G205" s="245">
        <v>28507.599999999999</v>
      </c>
      <c r="H205" s="245">
        <v>0</v>
      </c>
      <c r="I205" s="250">
        <v>28507.599999999999</v>
      </c>
      <c r="J205" s="244" t="s">
        <v>1092</v>
      </c>
      <c r="L205" s="223">
        <f>SUMIF('VC detail'!C:C,B205,'VC detail'!E:E)</f>
        <v>2510.6482237152168</v>
      </c>
      <c r="M205" s="223">
        <f t="shared" si="3"/>
        <v>25996.951776284783</v>
      </c>
      <c r="N205" s="223"/>
      <c r="O205" s="280">
        <f t="shared" si="4"/>
        <v>25996.951776284783</v>
      </c>
      <c r="P205" s="215" t="e">
        <f>VLOOKUP(B205,#REF!,6,0)</f>
        <v>#REF!</v>
      </c>
    </row>
    <row r="206" spans="1:16">
      <c r="A206" s="221" t="str">
        <f t="shared" si="5"/>
        <v>518</v>
      </c>
      <c r="B206" s="215">
        <v>5186100000</v>
      </c>
      <c r="C206" s="244" t="s">
        <v>1427</v>
      </c>
      <c r="D206" s="245">
        <v>0</v>
      </c>
      <c r="E206" s="245">
        <v>1072.42</v>
      </c>
      <c r="F206" s="245">
        <v>0</v>
      </c>
      <c r="G206" s="245">
        <v>11684.15</v>
      </c>
      <c r="H206" s="245">
        <v>0</v>
      </c>
      <c r="I206" s="250">
        <v>11684.15</v>
      </c>
      <c r="J206" s="244" t="s">
        <v>1093</v>
      </c>
      <c r="L206" s="223">
        <f>SUMIF('VC detail'!C:C,B206,'VC detail'!E:E)</f>
        <v>1115.5899999999999</v>
      </c>
      <c r="M206" s="223">
        <f t="shared" si="3"/>
        <v>10568.56</v>
      </c>
      <c r="N206" s="223"/>
      <c r="O206" s="280">
        <f t="shared" si="4"/>
        <v>10568.56</v>
      </c>
      <c r="P206" s="215" t="e">
        <f>VLOOKUP(B206,#REF!,6,0)</f>
        <v>#REF!</v>
      </c>
    </row>
    <row r="207" spans="1:16">
      <c r="A207" s="221" t="str">
        <f t="shared" si="5"/>
        <v>518</v>
      </c>
      <c r="B207" s="215">
        <v>5186200000</v>
      </c>
      <c r="C207" s="244" t="s">
        <v>1428</v>
      </c>
      <c r="D207" s="245">
        <v>0</v>
      </c>
      <c r="E207" s="245">
        <v>199.44</v>
      </c>
      <c r="F207" s="245">
        <v>0</v>
      </c>
      <c r="G207" s="245">
        <v>2292.15</v>
      </c>
      <c r="H207" s="245">
        <v>0</v>
      </c>
      <c r="I207" s="250">
        <v>2292.15</v>
      </c>
      <c r="J207" s="244" t="s">
        <v>1094</v>
      </c>
      <c r="L207" s="223">
        <f>SUMIF('VC detail'!C:C,B207,'VC detail'!E:E)</f>
        <v>0</v>
      </c>
      <c r="M207" s="223">
        <f t="shared" si="3"/>
        <v>2292.15</v>
      </c>
      <c r="N207" s="223"/>
      <c r="O207" s="280">
        <f t="shared" si="4"/>
        <v>2292.15</v>
      </c>
      <c r="P207" s="215" t="e">
        <f>VLOOKUP(B207,#REF!,6,0)</f>
        <v>#REF!</v>
      </c>
    </row>
    <row r="208" spans="1:16">
      <c r="A208" s="221" t="str">
        <f t="shared" si="5"/>
        <v>518</v>
      </c>
      <c r="B208" s="215">
        <v>5186300000</v>
      </c>
      <c r="C208" s="244" t="s">
        <v>1429</v>
      </c>
      <c r="D208" s="245">
        <v>0</v>
      </c>
      <c r="E208" s="245">
        <v>235.49</v>
      </c>
      <c r="F208" s="245">
        <v>0</v>
      </c>
      <c r="G208" s="245">
        <v>2975.77</v>
      </c>
      <c r="H208" s="245">
        <v>0</v>
      </c>
      <c r="I208" s="250">
        <v>2975.77</v>
      </c>
      <c r="J208" s="244" t="s">
        <v>1095</v>
      </c>
      <c r="L208" s="223">
        <f>SUMIF('VC detail'!C:C,B208,'VC detail'!E:E)</f>
        <v>0</v>
      </c>
      <c r="M208" s="223">
        <f t="shared" si="3"/>
        <v>2975.77</v>
      </c>
      <c r="N208" s="223"/>
      <c r="O208" s="280">
        <f t="shared" si="4"/>
        <v>2975.77</v>
      </c>
      <c r="P208" s="215" t="e">
        <f>VLOOKUP(B208,#REF!,6,0)</f>
        <v>#REF!</v>
      </c>
    </row>
    <row r="209" spans="1:16">
      <c r="A209" s="221" t="str">
        <f t="shared" si="5"/>
        <v>518</v>
      </c>
      <c r="B209" s="215">
        <v>5187000000</v>
      </c>
      <c r="C209" s="244" t="s">
        <v>1430</v>
      </c>
      <c r="D209" s="245">
        <v>0</v>
      </c>
      <c r="E209" s="245">
        <v>83000</v>
      </c>
      <c r="F209" s="245">
        <v>0</v>
      </c>
      <c r="G209" s="245">
        <v>281000</v>
      </c>
      <c r="H209" s="245">
        <v>0</v>
      </c>
      <c r="I209" s="250">
        <v>281000</v>
      </c>
      <c r="J209" s="244" t="s">
        <v>1096</v>
      </c>
      <c r="L209" s="223">
        <f>SUMIF('VC detail'!C:C,B209,'VC detail'!E:E)</f>
        <v>84300</v>
      </c>
      <c r="M209" s="223">
        <f t="shared" si="3"/>
        <v>196700</v>
      </c>
      <c r="N209" s="223"/>
      <c r="O209" s="280">
        <f t="shared" si="4"/>
        <v>196700</v>
      </c>
      <c r="P209" s="215" t="e">
        <f>VLOOKUP(B209,#REF!,6,0)</f>
        <v>#REF!</v>
      </c>
    </row>
    <row r="210" spans="1:16">
      <c r="A210" s="221" t="str">
        <f t="shared" si="5"/>
        <v>518</v>
      </c>
      <c r="B210" s="215">
        <v>5189100000</v>
      </c>
      <c r="C210" s="244" t="s">
        <v>1431</v>
      </c>
      <c r="D210" s="245">
        <v>0</v>
      </c>
      <c r="E210" s="245">
        <v>508.8</v>
      </c>
      <c r="F210" s="245">
        <v>0</v>
      </c>
      <c r="G210" s="245">
        <v>15151.28</v>
      </c>
      <c r="H210" s="245">
        <v>0</v>
      </c>
      <c r="I210" s="250">
        <v>15151.28</v>
      </c>
      <c r="J210" s="244" t="s">
        <v>1097</v>
      </c>
      <c r="L210" s="223">
        <f>SUMIF('VC detail'!C:C,B210,'VC detail'!E:E)</f>
        <v>2955.86</v>
      </c>
      <c r="M210" s="223">
        <f t="shared" si="3"/>
        <v>12195.42</v>
      </c>
      <c r="N210" s="223"/>
      <c r="O210" s="280">
        <f t="shared" si="4"/>
        <v>12195.42</v>
      </c>
      <c r="P210" s="215" t="e">
        <f>VLOOKUP(B210,#REF!,6,0)</f>
        <v>#REF!</v>
      </c>
    </row>
    <row r="211" spans="1:16">
      <c r="A211" s="221" t="str">
        <f t="shared" si="5"/>
        <v>518</v>
      </c>
      <c r="B211" s="215">
        <v>5189200000</v>
      </c>
      <c r="C211" s="244" t="s">
        <v>1432</v>
      </c>
      <c r="D211" s="245">
        <v>0</v>
      </c>
      <c r="E211" s="245">
        <v>14849.19</v>
      </c>
      <c r="F211" s="245">
        <v>0</v>
      </c>
      <c r="G211" s="245">
        <v>53122.559999999998</v>
      </c>
      <c r="H211" s="245">
        <v>0</v>
      </c>
      <c r="I211" s="250">
        <v>53122.559999999998</v>
      </c>
      <c r="J211" s="244" t="s">
        <v>1098</v>
      </c>
      <c r="L211" s="223">
        <f>SUMIF('VC detail'!C:C,B211,'VC detail'!E:E)</f>
        <v>0</v>
      </c>
      <c r="M211" s="223">
        <f t="shared" si="3"/>
        <v>53122.559999999998</v>
      </c>
      <c r="N211" s="223"/>
      <c r="O211" s="280">
        <f t="shared" si="4"/>
        <v>53122.559999999998</v>
      </c>
      <c r="P211" s="215" t="e">
        <f>VLOOKUP(B211,#REF!,6,0)</f>
        <v>#REF!</v>
      </c>
    </row>
    <row r="212" spans="1:16">
      <c r="A212" s="221" t="str">
        <f t="shared" si="5"/>
        <v>518</v>
      </c>
      <c r="B212" s="215">
        <v>5189300000</v>
      </c>
      <c r="C212" s="244" t="s">
        <v>1433</v>
      </c>
      <c r="D212" s="245">
        <v>0</v>
      </c>
      <c r="E212" s="245">
        <v>4216.08</v>
      </c>
      <c r="F212" s="245">
        <v>0</v>
      </c>
      <c r="G212" s="245">
        <v>40440.1</v>
      </c>
      <c r="H212" s="245">
        <v>0</v>
      </c>
      <c r="I212" s="250">
        <v>40440.1</v>
      </c>
      <c r="J212" s="244" t="s">
        <v>1099</v>
      </c>
      <c r="L212" s="223">
        <f>SUMIF('VC detail'!C:C,B212,'VC detail'!E:E)</f>
        <v>608.15</v>
      </c>
      <c r="M212" s="223">
        <f t="shared" si="3"/>
        <v>39831.949999999997</v>
      </c>
      <c r="N212" s="223"/>
      <c r="O212" s="280">
        <f t="shared" si="4"/>
        <v>39831.949999999997</v>
      </c>
      <c r="P212" s="215" t="e">
        <f>VLOOKUP(B212,#REF!,6,0)</f>
        <v>#REF!</v>
      </c>
    </row>
    <row r="213" spans="1:16">
      <c r="A213" s="221" t="str">
        <f t="shared" si="5"/>
        <v>521</v>
      </c>
      <c r="B213" s="215">
        <v>5211100000</v>
      </c>
      <c r="C213" s="244" t="s">
        <v>1434</v>
      </c>
      <c r="D213" s="245">
        <v>0</v>
      </c>
      <c r="E213" s="245">
        <v>200222.06</v>
      </c>
      <c r="F213" s="245">
        <v>0</v>
      </c>
      <c r="G213" s="245">
        <v>2254973.33</v>
      </c>
      <c r="H213" s="245">
        <v>8358.58</v>
      </c>
      <c r="I213" s="250">
        <v>2246614.75</v>
      </c>
      <c r="J213" s="244" t="s">
        <v>1100</v>
      </c>
      <c r="L213" s="223">
        <f>SUMIF('VC detail'!C:C,B213,'VC detail'!E:E)</f>
        <v>17602.68</v>
      </c>
      <c r="M213" s="223">
        <f t="shared" si="3"/>
        <v>2229012.0699999998</v>
      </c>
      <c r="N213" s="223"/>
      <c r="O213" s="280">
        <f t="shared" si="4"/>
        <v>2229012.0699999998</v>
      </c>
      <c r="P213" s="215" t="e">
        <f>VLOOKUP(B213,#REF!,6,0)</f>
        <v>#REF!</v>
      </c>
    </row>
    <row r="214" spans="1:16">
      <c r="A214" s="221" t="str">
        <f t="shared" si="5"/>
        <v>521</v>
      </c>
      <c r="B214" s="215">
        <v>5211200000</v>
      </c>
      <c r="C214" s="244" t="s">
        <v>1435</v>
      </c>
      <c r="D214" s="245">
        <v>0</v>
      </c>
      <c r="E214" s="245">
        <v>67578.490000000005</v>
      </c>
      <c r="F214" s="245">
        <v>0</v>
      </c>
      <c r="G214" s="245">
        <v>588247.81000000006</v>
      </c>
      <c r="H214" s="245">
        <v>0</v>
      </c>
      <c r="I214" s="250">
        <v>588247.81000000006</v>
      </c>
      <c r="J214" s="244" t="s">
        <v>1101</v>
      </c>
      <c r="L214" s="223">
        <f>SUMIF('VC detail'!C:C,B214,'VC detail'!E:E)</f>
        <v>43898.392712794302</v>
      </c>
      <c r="M214" s="223">
        <f t="shared" si="3"/>
        <v>544349.41728720581</v>
      </c>
      <c r="N214" s="223"/>
      <c r="O214" s="280">
        <f t="shared" si="4"/>
        <v>544349.41728720581</v>
      </c>
      <c r="P214" s="215" t="e">
        <f>VLOOKUP(B214,#REF!,6,0)</f>
        <v>#REF!</v>
      </c>
    </row>
    <row r="215" spans="1:16">
      <c r="A215" s="221" t="str">
        <f t="shared" si="5"/>
        <v>521</v>
      </c>
      <c r="B215" s="215">
        <v>5212100000</v>
      </c>
      <c r="C215" s="244" t="s">
        <v>1436</v>
      </c>
      <c r="D215" s="245">
        <v>0</v>
      </c>
      <c r="E215" s="245">
        <v>6076.91</v>
      </c>
      <c r="F215" s="245">
        <v>0</v>
      </c>
      <c r="G215" s="245">
        <v>56976.21</v>
      </c>
      <c r="H215" s="245">
        <v>0</v>
      </c>
      <c r="I215" s="250">
        <v>56976.21</v>
      </c>
      <c r="J215" s="244" t="s">
        <v>1102</v>
      </c>
      <c r="L215" s="223">
        <f>SUMIF('VC detail'!C:C,B215,'VC detail'!E:E)</f>
        <v>0</v>
      </c>
      <c r="M215" s="223">
        <f t="shared" si="3"/>
        <v>56976.21</v>
      </c>
      <c r="N215" s="223"/>
      <c r="O215" s="280">
        <f t="shared" si="4"/>
        <v>56976.21</v>
      </c>
      <c r="P215" s="215" t="e">
        <f>VLOOKUP(B215,#REF!,6,0)</f>
        <v>#REF!</v>
      </c>
    </row>
    <row r="216" spans="1:16">
      <c r="A216" s="221" t="str">
        <f t="shared" si="5"/>
        <v>521</v>
      </c>
      <c r="B216" s="215">
        <v>5212200000</v>
      </c>
      <c r="C216" s="244" t="s">
        <v>1437</v>
      </c>
      <c r="D216" s="245">
        <v>0</v>
      </c>
      <c r="E216" s="245">
        <v>2016.03</v>
      </c>
      <c r="F216" s="245">
        <v>0</v>
      </c>
      <c r="G216" s="245">
        <v>29900.85</v>
      </c>
      <c r="H216" s="245">
        <v>1226.56</v>
      </c>
      <c r="I216" s="250">
        <v>28674.29</v>
      </c>
      <c r="J216" s="244" t="s">
        <v>1103</v>
      </c>
      <c r="L216" s="223">
        <f>SUMIF('VC detail'!C:C,B216,'VC detail'!E:E)</f>
        <v>0</v>
      </c>
      <c r="M216" s="223">
        <f t="shared" si="3"/>
        <v>28674.29</v>
      </c>
      <c r="N216" s="223"/>
      <c r="O216" s="280">
        <f t="shared" si="4"/>
        <v>28674.29</v>
      </c>
      <c r="P216" s="215" t="e">
        <f>VLOOKUP(B216,#REF!,6,0)</f>
        <v>#REF!</v>
      </c>
    </row>
    <row r="217" spans="1:16">
      <c r="A217" s="221" t="str">
        <f t="shared" si="5"/>
        <v>524</v>
      </c>
      <c r="B217" s="215">
        <v>5241100000</v>
      </c>
      <c r="C217" s="244" t="s">
        <v>1438</v>
      </c>
      <c r="D217" s="245">
        <v>0</v>
      </c>
      <c r="E217" s="245">
        <v>68707.17</v>
      </c>
      <c r="F217" s="245">
        <v>0</v>
      </c>
      <c r="G217" s="245">
        <v>804165.65</v>
      </c>
      <c r="H217" s="245">
        <v>2919.69</v>
      </c>
      <c r="I217" s="250">
        <v>801245.96</v>
      </c>
      <c r="J217" s="244" t="s">
        <v>1104</v>
      </c>
      <c r="L217" s="223">
        <f>SUMIF('VC detail'!C:C,B217,'VC detail'!E:E)</f>
        <v>4927.05</v>
      </c>
      <c r="M217" s="223">
        <f t="shared" si="3"/>
        <v>796318.90999999992</v>
      </c>
      <c r="N217" s="223"/>
      <c r="O217" s="280">
        <f t="shared" si="4"/>
        <v>796318.90999999992</v>
      </c>
      <c r="P217" s="215" t="e">
        <f>VLOOKUP(B217,#REF!,6,0)</f>
        <v>#REF!</v>
      </c>
    </row>
    <row r="218" spans="1:16">
      <c r="A218" s="221" t="str">
        <f t="shared" si="5"/>
        <v>524</v>
      </c>
      <c r="B218" s="215">
        <v>5241200000</v>
      </c>
      <c r="C218" s="244" t="s">
        <v>1439</v>
      </c>
      <c r="D218" s="245">
        <v>0</v>
      </c>
      <c r="E218" s="245">
        <v>18477.72</v>
      </c>
      <c r="F218" s="245">
        <v>0</v>
      </c>
      <c r="G218" s="245">
        <v>200088.97</v>
      </c>
      <c r="H218" s="245">
        <v>431.64</v>
      </c>
      <c r="I218" s="250">
        <v>199657.33</v>
      </c>
      <c r="J218" s="244" t="s">
        <v>1105</v>
      </c>
      <c r="L218" s="223">
        <f>SUMIF('VC detail'!C:C,B218,'VC detail'!E:E)</f>
        <v>14899.56397853477</v>
      </c>
      <c r="M218" s="223">
        <f t="shared" si="3"/>
        <v>184757.76602146521</v>
      </c>
      <c r="N218" s="223"/>
      <c r="O218" s="280">
        <f t="shared" si="4"/>
        <v>184757.76602146521</v>
      </c>
      <c r="P218" s="215" t="e">
        <f>VLOOKUP(B218,#REF!,6,0)</f>
        <v>#REF!</v>
      </c>
    </row>
    <row r="219" spans="1:16">
      <c r="A219" s="221" t="str">
        <f t="shared" si="5"/>
        <v>524</v>
      </c>
      <c r="B219" s="215">
        <v>5242100000</v>
      </c>
      <c r="C219" s="244" t="s">
        <v>1440</v>
      </c>
      <c r="D219" s="245">
        <v>0</v>
      </c>
      <c r="E219" s="245">
        <v>0</v>
      </c>
      <c r="F219" s="245">
        <v>0</v>
      </c>
      <c r="G219" s="245">
        <v>0</v>
      </c>
      <c r="H219" s="245">
        <v>0</v>
      </c>
      <c r="I219" s="250">
        <v>0</v>
      </c>
      <c r="J219" s="244" t="s">
        <v>1104</v>
      </c>
      <c r="L219" s="223">
        <f>SUMIF('VC detail'!C:C,B219,'VC detail'!E:E)</f>
        <v>0</v>
      </c>
      <c r="M219" s="223">
        <f t="shared" si="3"/>
        <v>0</v>
      </c>
      <c r="N219" s="223"/>
      <c r="O219" s="280">
        <f t="shared" si="4"/>
        <v>0</v>
      </c>
      <c r="P219" s="215" t="e">
        <f>VLOOKUP(B219,#REF!,6,0)</f>
        <v>#REF!</v>
      </c>
    </row>
    <row r="220" spans="1:16">
      <c r="A220" s="221" t="str">
        <f t="shared" si="5"/>
        <v>524</v>
      </c>
      <c r="B220" s="215">
        <v>5242200000</v>
      </c>
      <c r="C220" s="244" t="s">
        <v>1441</v>
      </c>
      <c r="D220" s="245">
        <v>0</v>
      </c>
      <c r="E220" s="245">
        <v>0</v>
      </c>
      <c r="F220" s="245">
        <v>0</v>
      </c>
      <c r="G220" s="245">
        <v>0</v>
      </c>
      <c r="H220" s="245">
        <v>0</v>
      </c>
      <c r="I220" s="250">
        <v>0</v>
      </c>
      <c r="J220" s="244" t="s">
        <v>1105</v>
      </c>
      <c r="L220" s="223">
        <f>SUMIF('VC detail'!C:C,B220,'VC detail'!E:E)</f>
        <v>0</v>
      </c>
      <c r="M220" s="223">
        <f t="shared" si="3"/>
        <v>0</v>
      </c>
      <c r="N220" s="223"/>
      <c r="O220" s="280">
        <f t="shared" si="4"/>
        <v>0</v>
      </c>
      <c r="P220" s="215" t="e">
        <f>VLOOKUP(B220,#REF!,6,0)</f>
        <v>#REF!</v>
      </c>
    </row>
    <row r="221" spans="1:16">
      <c r="A221" s="221" t="str">
        <f t="shared" si="5"/>
        <v>527</v>
      </c>
      <c r="B221" s="215">
        <v>5271000000</v>
      </c>
      <c r="C221" s="244" t="s">
        <v>1442</v>
      </c>
      <c r="D221" s="245">
        <v>0</v>
      </c>
      <c r="E221" s="245">
        <v>1939.94</v>
      </c>
      <c r="F221" s="245">
        <v>0</v>
      </c>
      <c r="G221" s="245">
        <v>22328.09</v>
      </c>
      <c r="H221" s="245">
        <v>0</v>
      </c>
      <c r="I221" s="250">
        <v>22328.09</v>
      </c>
      <c r="J221" s="244" t="s">
        <v>1106</v>
      </c>
      <c r="L221" s="223">
        <f>SUMIF('VC detail'!C:C,B221,'VC detail'!E:E)</f>
        <v>1785.6988949115089</v>
      </c>
      <c r="M221" s="223">
        <f t="shared" si="3"/>
        <v>20542.391105088493</v>
      </c>
      <c r="N221" s="223"/>
      <c r="O221" s="280">
        <f t="shared" si="4"/>
        <v>20542.391105088493</v>
      </c>
      <c r="P221" s="215" t="e">
        <f>VLOOKUP(B221,#REF!,6,0)</f>
        <v>#REF!</v>
      </c>
    </row>
    <row r="222" spans="1:16">
      <c r="A222" s="221" t="str">
        <f t="shared" si="5"/>
        <v>527</v>
      </c>
      <c r="B222" s="215">
        <v>5272000000</v>
      </c>
      <c r="C222" s="244" t="s">
        <v>1443</v>
      </c>
      <c r="D222" s="245">
        <v>0</v>
      </c>
      <c r="E222" s="245">
        <v>1526.04</v>
      </c>
      <c r="F222" s="245">
        <v>0</v>
      </c>
      <c r="G222" s="245">
        <v>21810.3</v>
      </c>
      <c r="H222" s="245">
        <v>0</v>
      </c>
      <c r="I222" s="250">
        <v>21810.3</v>
      </c>
      <c r="J222" s="244" t="s">
        <v>1213</v>
      </c>
      <c r="L222" s="223">
        <f>SUMIF('VC detail'!C:C,B222,'VC detail'!E:E)</f>
        <v>1627.6084641672655</v>
      </c>
      <c r="M222" s="223">
        <f t="shared" si="3"/>
        <v>20182.691535832735</v>
      </c>
      <c r="N222" s="223"/>
      <c r="O222" s="280">
        <f t="shared" si="4"/>
        <v>20182.691535832735</v>
      </c>
      <c r="P222" s="215" t="e">
        <f>VLOOKUP(B222,#REF!,6,0)</f>
        <v>#REF!</v>
      </c>
    </row>
    <row r="223" spans="1:16">
      <c r="A223" s="221" t="str">
        <f t="shared" si="5"/>
        <v>528</v>
      </c>
      <c r="B223" s="215">
        <v>5281000000</v>
      </c>
      <c r="C223" s="244" t="s">
        <v>1444</v>
      </c>
      <c r="D223" s="245">
        <v>0</v>
      </c>
      <c r="E223" s="245">
        <v>0</v>
      </c>
      <c r="F223" s="245">
        <v>0</v>
      </c>
      <c r="G223" s="245">
        <v>841.45</v>
      </c>
      <c r="H223" s="245">
        <v>0</v>
      </c>
      <c r="I223" s="250">
        <v>841.45</v>
      </c>
      <c r="J223" s="244" t="s">
        <v>1107</v>
      </c>
      <c r="L223" s="223">
        <f>SUMIF('VC detail'!C:C,B223,'VC detail'!E:E)</f>
        <v>62.793778268687078</v>
      </c>
      <c r="M223" s="223">
        <f t="shared" si="3"/>
        <v>778.65622173131294</v>
      </c>
      <c r="N223" s="223"/>
      <c r="O223" s="280">
        <f t="shared" si="4"/>
        <v>778.65622173131294</v>
      </c>
      <c r="P223" s="215" t="e">
        <f>VLOOKUP(B223,#REF!,6,0)</f>
        <v>#REF!</v>
      </c>
    </row>
    <row r="224" spans="1:16">
      <c r="A224" s="221" t="str">
        <f t="shared" si="5"/>
        <v>528</v>
      </c>
      <c r="B224" s="215">
        <v>5283000000</v>
      </c>
      <c r="C224" s="244" t="s">
        <v>1445</v>
      </c>
      <c r="D224" s="245">
        <v>0</v>
      </c>
      <c r="E224" s="245">
        <v>250.67</v>
      </c>
      <c r="F224" s="245">
        <v>0</v>
      </c>
      <c r="G224" s="245">
        <v>5823.63</v>
      </c>
      <c r="H224" s="245">
        <v>0</v>
      </c>
      <c r="I224" s="250">
        <v>5823.63</v>
      </c>
      <c r="J224" s="244" t="s">
        <v>1108</v>
      </c>
      <c r="L224" s="223">
        <f>SUMIF('VC detail'!C:C,B224,'VC detail'!E:E)</f>
        <v>434.5923476604363</v>
      </c>
      <c r="M224" s="223">
        <f t="shared" si="3"/>
        <v>5389.0376523395635</v>
      </c>
      <c r="N224" s="223"/>
      <c r="O224" s="280">
        <f t="shared" si="4"/>
        <v>5389.0376523395635</v>
      </c>
      <c r="P224" s="215" t="e">
        <f>VLOOKUP(B224,#REF!,6,0)</f>
        <v>#REF!</v>
      </c>
    </row>
    <row r="225" spans="1:16">
      <c r="A225" s="221" t="str">
        <f t="shared" si="5"/>
        <v>531</v>
      </c>
      <c r="B225" s="215">
        <v>5311000000</v>
      </c>
      <c r="C225" s="244" t="s">
        <v>1446</v>
      </c>
      <c r="D225" s="245">
        <v>0</v>
      </c>
      <c r="E225" s="245">
        <v>80.540000000000006</v>
      </c>
      <c r="F225" s="245">
        <v>0</v>
      </c>
      <c r="G225" s="245">
        <v>80.540000000000006</v>
      </c>
      <c r="H225" s="245">
        <v>0</v>
      </c>
      <c r="I225" s="250">
        <v>80.540000000000006</v>
      </c>
      <c r="J225" s="244" t="s">
        <v>1109</v>
      </c>
      <c r="L225" s="223">
        <f>SUMIF('VC detail'!C:C,B225,'VC detail'!E:E)</f>
        <v>0</v>
      </c>
      <c r="M225" s="223">
        <f t="shared" ref="M225:M288" si="6">+I225-L225</f>
        <v>80.540000000000006</v>
      </c>
      <c r="N225" s="223"/>
      <c r="O225" s="280">
        <f t="shared" ref="O225:O288" si="7">+M225+N225</f>
        <v>80.540000000000006</v>
      </c>
      <c r="P225" s="215" t="e">
        <f>VLOOKUP(B225,#REF!,6,0)</f>
        <v>#REF!</v>
      </c>
    </row>
    <row r="226" spans="1:16">
      <c r="A226" s="221" t="str">
        <f t="shared" si="5"/>
        <v>532</v>
      </c>
      <c r="B226" s="215">
        <v>5321000000</v>
      </c>
      <c r="C226" s="244" t="s">
        <v>1447</v>
      </c>
      <c r="D226" s="245">
        <v>0</v>
      </c>
      <c r="E226" s="245">
        <v>0</v>
      </c>
      <c r="F226" s="245">
        <v>0</v>
      </c>
      <c r="G226" s="245">
        <v>6086.5</v>
      </c>
      <c r="H226" s="245">
        <v>0</v>
      </c>
      <c r="I226" s="250">
        <v>6086.5</v>
      </c>
      <c r="J226" s="244" t="s">
        <v>1110</v>
      </c>
      <c r="L226" s="223">
        <f>SUMIF('VC detail'!C:C,B226,'VC detail'!E:E)</f>
        <v>0</v>
      </c>
      <c r="M226" s="223">
        <f t="shared" si="6"/>
        <v>6086.5</v>
      </c>
      <c r="N226" s="223"/>
      <c r="O226" s="280">
        <f t="shared" si="7"/>
        <v>6086.5</v>
      </c>
      <c r="P226" s="215" t="e">
        <f>VLOOKUP(B226,#REF!,6,0)</f>
        <v>#REF!</v>
      </c>
    </row>
    <row r="227" spans="1:16">
      <c r="A227" s="221" t="str">
        <f t="shared" ref="A227:A290" si="8">LEFT(B227,3)</f>
        <v>541</v>
      </c>
      <c r="B227" s="215">
        <v>5411000000</v>
      </c>
      <c r="C227" s="244" t="s">
        <v>1448</v>
      </c>
      <c r="D227" s="245">
        <v>0</v>
      </c>
      <c r="E227" s="245">
        <v>0</v>
      </c>
      <c r="F227" s="245">
        <v>0</v>
      </c>
      <c r="G227" s="245">
        <v>2664.79</v>
      </c>
      <c r="H227" s="245">
        <v>0</v>
      </c>
      <c r="I227" s="250">
        <v>2664.79</v>
      </c>
      <c r="J227" s="244" t="s">
        <v>1111</v>
      </c>
      <c r="L227" s="223">
        <f>SUMIF('VC detail'!C:C,B227,'VC detail'!E:E)</f>
        <v>0</v>
      </c>
      <c r="M227" s="223">
        <f t="shared" si="6"/>
        <v>2664.79</v>
      </c>
      <c r="N227" s="223"/>
      <c r="O227" s="280">
        <f t="shared" si="7"/>
        <v>2664.79</v>
      </c>
      <c r="P227" s="215" t="e">
        <f>VLOOKUP(B227,#REF!,6,0)</f>
        <v>#REF!</v>
      </c>
    </row>
    <row r="228" spans="1:16">
      <c r="A228" s="221" t="str">
        <f t="shared" si="8"/>
        <v>543</v>
      </c>
      <c r="B228" s="215">
        <v>5431000000</v>
      </c>
      <c r="C228" s="244" t="s">
        <v>1449</v>
      </c>
      <c r="D228" s="245">
        <v>0</v>
      </c>
      <c r="E228" s="245">
        <v>0</v>
      </c>
      <c r="F228" s="245">
        <v>0</v>
      </c>
      <c r="G228" s="245">
        <v>0</v>
      </c>
      <c r="H228" s="245">
        <v>0</v>
      </c>
      <c r="I228" s="250">
        <v>0</v>
      </c>
      <c r="J228" s="244" t="s">
        <v>1214</v>
      </c>
      <c r="L228" s="223">
        <f>SUMIF('VC detail'!C:C,B228,'VC detail'!E:E)</f>
        <v>0</v>
      </c>
      <c r="M228" s="223">
        <f t="shared" si="6"/>
        <v>0</v>
      </c>
      <c r="N228" s="223"/>
      <c r="O228" s="280">
        <f t="shared" si="7"/>
        <v>0</v>
      </c>
      <c r="P228" s="215" t="e">
        <f>VLOOKUP(B228,#REF!,6,0)</f>
        <v>#REF!</v>
      </c>
    </row>
    <row r="229" spans="1:16">
      <c r="A229" s="221" t="str">
        <f t="shared" si="8"/>
        <v>544</v>
      </c>
      <c r="B229" s="215">
        <v>5442000000</v>
      </c>
      <c r="C229" s="244" t="s">
        <v>1450</v>
      </c>
      <c r="D229" s="245">
        <v>0</v>
      </c>
      <c r="E229" s="245">
        <v>0</v>
      </c>
      <c r="F229" s="245">
        <v>0</v>
      </c>
      <c r="G229" s="245">
        <v>5221</v>
      </c>
      <c r="H229" s="245">
        <v>0</v>
      </c>
      <c r="I229" s="250">
        <v>5221</v>
      </c>
      <c r="J229" s="244" t="s">
        <v>1112</v>
      </c>
      <c r="L229" s="223">
        <f>SUMIF('VC detail'!C:C,B229,'VC detail'!E:E)</f>
        <v>0</v>
      </c>
      <c r="M229" s="223">
        <f t="shared" si="6"/>
        <v>5221</v>
      </c>
      <c r="N229" s="223"/>
      <c r="O229" s="280">
        <f t="shared" si="7"/>
        <v>5221</v>
      </c>
      <c r="P229" s="215" t="e">
        <f>VLOOKUP(B229,#REF!,6,0)</f>
        <v>#REF!</v>
      </c>
    </row>
    <row r="230" spans="1:16">
      <c r="A230" s="221" t="str">
        <f t="shared" si="8"/>
        <v>544</v>
      </c>
      <c r="B230" s="215">
        <v>5443000000</v>
      </c>
      <c r="C230" s="244" t="s">
        <v>1451</v>
      </c>
      <c r="D230" s="245">
        <v>0</v>
      </c>
      <c r="E230" s="245">
        <v>-227.57</v>
      </c>
      <c r="F230" s="245">
        <v>0</v>
      </c>
      <c r="G230" s="245">
        <v>17859.25</v>
      </c>
      <c r="H230" s="245">
        <v>0</v>
      </c>
      <c r="I230" s="250">
        <v>17859.25</v>
      </c>
      <c r="J230" s="244" t="s">
        <v>1113</v>
      </c>
      <c r="L230" s="223">
        <f>SUMIF('VC detail'!C:C,B230,'VC detail'!E:E)</f>
        <v>1332.7586719888877</v>
      </c>
      <c r="M230" s="223">
        <f t="shared" si="6"/>
        <v>16526.491328011114</v>
      </c>
      <c r="N230" s="223"/>
      <c r="O230" s="280">
        <f t="shared" si="7"/>
        <v>16526.491328011114</v>
      </c>
      <c r="P230" s="215" t="e">
        <f>VLOOKUP(B230,#REF!,6,0)</f>
        <v>#REF!</v>
      </c>
    </row>
    <row r="231" spans="1:16">
      <c r="A231" s="221" t="str">
        <f t="shared" si="8"/>
        <v>544</v>
      </c>
      <c r="B231" s="215">
        <v>5444000000</v>
      </c>
      <c r="C231" s="244" t="s">
        <v>1452</v>
      </c>
      <c r="D231" s="245">
        <v>0</v>
      </c>
      <c r="E231" s="245">
        <v>0</v>
      </c>
      <c r="F231" s="245">
        <v>0</v>
      </c>
      <c r="G231" s="245">
        <v>1273.97</v>
      </c>
      <c r="H231" s="245">
        <v>0</v>
      </c>
      <c r="I231" s="250">
        <v>1273.97</v>
      </c>
      <c r="J231" s="244" t="s">
        <v>1114</v>
      </c>
      <c r="L231" s="223">
        <f>SUMIF('VC detail'!C:C,B231,'VC detail'!E:E)</f>
        <v>95.070877296285303</v>
      </c>
      <c r="M231" s="223">
        <f t="shared" si="6"/>
        <v>1178.8991227037147</v>
      </c>
      <c r="N231" s="223"/>
      <c r="O231" s="280">
        <f t="shared" si="7"/>
        <v>1178.8991227037147</v>
      </c>
      <c r="P231" s="215" t="e">
        <f>VLOOKUP(B231,#REF!,6,0)</f>
        <v>#REF!</v>
      </c>
    </row>
    <row r="232" spans="1:16">
      <c r="A232" s="221" t="str">
        <f t="shared" si="8"/>
        <v>544</v>
      </c>
      <c r="B232" s="215">
        <v>5445000000</v>
      </c>
      <c r="C232" s="244" t="s">
        <v>1453</v>
      </c>
      <c r="D232" s="245">
        <v>0</v>
      </c>
      <c r="E232" s="245">
        <v>1198.79</v>
      </c>
      <c r="F232" s="245">
        <v>0</v>
      </c>
      <c r="G232" s="245">
        <v>3163.42</v>
      </c>
      <c r="H232" s="245">
        <v>0</v>
      </c>
      <c r="I232" s="250">
        <v>3163.42</v>
      </c>
      <c r="J232" s="244" t="s">
        <v>1115</v>
      </c>
      <c r="L232" s="223">
        <f>SUMIF('VC detail'!C:C,B232,'VC detail'!E:E)</f>
        <v>236.07236799658929</v>
      </c>
      <c r="M232" s="223">
        <f t="shared" si="6"/>
        <v>2927.3476320034106</v>
      </c>
      <c r="N232" s="223"/>
      <c r="O232" s="280">
        <f t="shared" si="7"/>
        <v>2927.3476320034106</v>
      </c>
      <c r="P232" s="215" t="e">
        <f>VLOOKUP(B232,#REF!,6,0)</f>
        <v>#REF!</v>
      </c>
    </row>
    <row r="233" spans="1:16">
      <c r="A233" s="221" t="str">
        <f t="shared" si="8"/>
        <v>546</v>
      </c>
      <c r="B233" s="215">
        <v>5461000000</v>
      </c>
      <c r="C233" s="244" t="s">
        <v>1454</v>
      </c>
      <c r="D233" s="245">
        <v>0</v>
      </c>
      <c r="E233" s="245">
        <v>38.03</v>
      </c>
      <c r="F233" s="245">
        <v>0</v>
      </c>
      <c r="G233" s="245">
        <v>38.03</v>
      </c>
      <c r="H233" s="245">
        <v>0</v>
      </c>
      <c r="I233" s="250">
        <v>38.03</v>
      </c>
      <c r="J233" s="244" t="s">
        <v>1215</v>
      </c>
      <c r="L233" s="223">
        <f>SUMIF('VC detail'!C:C,B233,'VC detail'!E:E)</f>
        <v>0</v>
      </c>
      <c r="M233" s="223">
        <f t="shared" si="6"/>
        <v>38.03</v>
      </c>
      <c r="N233" s="223"/>
      <c r="O233" s="280">
        <f t="shared" si="7"/>
        <v>38.03</v>
      </c>
      <c r="P233" s="215" t="e">
        <f>VLOOKUP(B233,#REF!,6,0)</f>
        <v>#REF!</v>
      </c>
    </row>
    <row r="234" spans="1:16">
      <c r="A234" s="221" t="str">
        <f t="shared" si="8"/>
        <v>547</v>
      </c>
      <c r="B234" s="215">
        <v>5471000000</v>
      </c>
      <c r="C234" s="244" t="s">
        <v>1455</v>
      </c>
      <c r="D234" s="245">
        <v>0</v>
      </c>
      <c r="E234" s="245">
        <v>100</v>
      </c>
      <c r="F234" s="245">
        <v>0</v>
      </c>
      <c r="G234" s="245">
        <v>300</v>
      </c>
      <c r="H234" s="245">
        <v>0</v>
      </c>
      <c r="I234" s="250">
        <v>300</v>
      </c>
      <c r="J234" s="244" t="s">
        <v>1116</v>
      </c>
      <c r="L234" s="223">
        <f>SUMIF('VC detail'!C:C,B234,'VC detail'!E:E)</f>
        <v>22.387703940348352</v>
      </c>
      <c r="M234" s="223">
        <f t="shared" si="6"/>
        <v>277.61229605965167</v>
      </c>
      <c r="N234" s="223"/>
      <c r="O234" s="280">
        <f t="shared" si="7"/>
        <v>277.61229605965167</v>
      </c>
      <c r="P234" s="215" t="e">
        <f>VLOOKUP(B234,#REF!,6,0)</f>
        <v>#REF!</v>
      </c>
    </row>
    <row r="235" spans="1:16">
      <c r="A235" s="221" t="str">
        <f t="shared" si="8"/>
        <v>549</v>
      </c>
      <c r="B235" s="215">
        <v>5491000000</v>
      </c>
      <c r="C235" s="244" t="s">
        <v>1456</v>
      </c>
      <c r="D235" s="245">
        <v>0</v>
      </c>
      <c r="E235" s="245">
        <v>20.92</v>
      </c>
      <c r="F235" s="245">
        <v>0</v>
      </c>
      <c r="G235" s="245">
        <v>292.82</v>
      </c>
      <c r="H235" s="245">
        <v>0</v>
      </c>
      <c r="I235" s="250">
        <v>292.82</v>
      </c>
      <c r="J235" s="244" t="s">
        <v>1117</v>
      </c>
      <c r="L235" s="223">
        <f>SUMIF('VC detail'!C:C,B235,'VC detail'!E:E)</f>
        <v>0</v>
      </c>
      <c r="M235" s="223">
        <f t="shared" si="6"/>
        <v>292.82</v>
      </c>
      <c r="N235" s="223"/>
      <c r="O235" s="280">
        <f t="shared" si="7"/>
        <v>292.82</v>
      </c>
      <c r="P235" s="215" t="e">
        <f>VLOOKUP(B235,#REF!,6,0)</f>
        <v>#REF!</v>
      </c>
    </row>
    <row r="236" spans="1:16">
      <c r="A236" s="221" t="str">
        <f t="shared" si="8"/>
        <v>549</v>
      </c>
      <c r="B236" s="215">
        <v>5492000000</v>
      </c>
      <c r="C236" s="244" t="s">
        <v>1457</v>
      </c>
      <c r="D236" s="245">
        <v>0</v>
      </c>
      <c r="E236" s="245">
        <v>0</v>
      </c>
      <c r="F236" s="245">
        <v>0</v>
      </c>
      <c r="G236" s="245">
        <v>9020.1200000000008</v>
      </c>
      <c r="H236" s="245">
        <v>0</v>
      </c>
      <c r="I236" s="250">
        <v>9020.1200000000008</v>
      </c>
      <c r="J236" s="244" t="s">
        <v>1118</v>
      </c>
      <c r="L236" s="223">
        <f>SUMIF('VC detail'!C:C,B236,'VC detail'!E:E)</f>
        <v>0</v>
      </c>
      <c r="M236" s="223">
        <f t="shared" si="6"/>
        <v>9020.1200000000008</v>
      </c>
      <c r="N236" s="223"/>
      <c r="O236" s="280">
        <f t="shared" si="7"/>
        <v>9020.1200000000008</v>
      </c>
      <c r="P236" s="215" t="e">
        <f>VLOOKUP(B236,#REF!,6,0)</f>
        <v>#REF!</v>
      </c>
    </row>
    <row r="237" spans="1:16">
      <c r="A237" s="221" t="str">
        <f t="shared" si="8"/>
        <v>549</v>
      </c>
      <c r="B237" s="215">
        <v>5495000000</v>
      </c>
      <c r="C237" s="244" t="s">
        <v>1458</v>
      </c>
      <c r="D237" s="245">
        <v>0</v>
      </c>
      <c r="E237" s="245">
        <v>0.71</v>
      </c>
      <c r="F237" s="245">
        <v>0</v>
      </c>
      <c r="G237" s="245">
        <v>2.29</v>
      </c>
      <c r="H237" s="245">
        <v>0</v>
      </c>
      <c r="I237" s="250">
        <v>2.29</v>
      </c>
      <c r="J237" s="244" t="s">
        <v>1119</v>
      </c>
      <c r="L237" s="223">
        <f>SUMIF('VC detail'!C:C,B237,'VC detail'!E:E)</f>
        <v>0</v>
      </c>
      <c r="M237" s="223">
        <f t="shared" si="6"/>
        <v>2.29</v>
      </c>
      <c r="N237" s="223"/>
      <c r="O237" s="280">
        <f t="shared" si="7"/>
        <v>2.29</v>
      </c>
      <c r="P237" s="215" t="e">
        <f>VLOOKUP(B237,#REF!,6,0)</f>
        <v>#REF!</v>
      </c>
    </row>
    <row r="238" spans="1:16">
      <c r="A238" s="221" t="str">
        <f t="shared" si="8"/>
        <v>549</v>
      </c>
      <c r="B238" s="215">
        <v>5497000000</v>
      </c>
      <c r="C238" s="244" t="s">
        <v>1459</v>
      </c>
      <c r="D238" s="245">
        <v>0</v>
      </c>
      <c r="E238" s="245">
        <v>0</v>
      </c>
      <c r="F238" s="245">
        <v>0</v>
      </c>
      <c r="G238" s="245">
        <v>1478.03</v>
      </c>
      <c r="H238" s="245">
        <v>0</v>
      </c>
      <c r="I238" s="250">
        <v>1478.03</v>
      </c>
      <c r="J238" s="244" t="s">
        <v>1120</v>
      </c>
      <c r="L238" s="223">
        <f>SUMIF('VC detail'!C:C,B238,'VC detail'!E:E)</f>
        <v>0</v>
      </c>
      <c r="M238" s="223">
        <f t="shared" si="6"/>
        <v>1478.03</v>
      </c>
      <c r="N238" s="223"/>
      <c r="O238" s="280">
        <f t="shared" si="7"/>
        <v>1478.03</v>
      </c>
      <c r="P238" s="215" t="e">
        <f>VLOOKUP(B238,#REF!,6,0)</f>
        <v>#REF!</v>
      </c>
    </row>
    <row r="239" spans="1:16">
      <c r="A239" s="221" t="str">
        <f t="shared" si="8"/>
        <v>549</v>
      </c>
      <c r="B239" s="215">
        <v>5498000000</v>
      </c>
      <c r="C239" s="244" t="s">
        <v>1460</v>
      </c>
      <c r="D239" s="245">
        <v>0</v>
      </c>
      <c r="E239" s="245">
        <v>670.3</v>
      </c>
      <c r="F239" s="245">
        <v>0</v>
      </c>
      <c r="G239" s="245">
        <v>670.3</v>
      </c>
      <c r="H239" s="245">
        <v>0</v>
      </c>
      <c r="I239" s="250">
        <v>670.3</v>
      </c>
      <c r="J239" s="244" t="s">
        <v>1121</v>
      </c>
      <c r="L239" s="223">
        <f>SUMIF('VC detail'!C:C,B239,'VC detail'!E:E)</f>
        <v>0</v>
      </c>
      <c r="M239" s="223">
        <f t="shared" si="6"/>
        <v>670.3</v>
      </c>
      <c r="N239" s="223"/>
      <c r="O239" s="280">
        <f t="shared" si="7"/>
        <v>670.3</v>
      </c>
      <c r="P239" s="215" t="e">
        <f>VLOOKUP(B239,#REF!,6,0)</f>
        <v>#REF!</v>
      </c>
    </row>
    <row r="240" spans="1:16">
      <c r="A240" s="221" t="str">
        <f t="shared" si="8"/>
        <v>549</v>
      </c>
      <c r="B240" s="215">
        <v>5499100000</v>
      </c>
      <c r="C240" s="244" t="s">
        <v>1461</v>
      </c>
      <c r="D240" s="245">
        <v>0</v>
      </c>
      <c r="E240" s="245">
        <v>0.2</v>
      </c>
      <c r="F240" s="245">
        <v>0</v>
      </c>
      <c r="G240" s="245">
        <v>573.92999999999995</v>
      </c>
      <c r="H240" s="245">
        <v>0</v>
      </c>
      <c r="I240" s="250">
        <v>573.92999999999995</v>
      </c>
      <c r="J240" s="244" t="s">
        <v>1122</v>
      </c>
      <c r="L240" s="223">
        <f>SUMIF('VC detail'!C:C,B240,'VC detail'!E:E)</f>
        <v>0</v>
      </c>
      <c r="M240" s="223">
        <f t="shared" si="6"/>
        <v>573.92999999999995</v>
      </c>
      <c r="N240" s="223"/>
      <c r="O240" s="280">
        <f t="shared" si="7"/>
        <v>573.92999999999995</v>
      </c>
      <c r="P240" s="215" t="e">
        <f>VLOOKUP(B240,#REF!,6,0)</f>
        <v>#REF!</v>
      </c>
    </row>
    <row r="241" spans="1:16">
      <c r="A241" s="221" t="str">
        <f t="shared" si="8"/>
        <v>549</v>
      </c>
      <c r="B241" s="215">
        <v>5499200000</v>
      </c>
      <c r="C241" s="244" t="s">
        <v>1462</v>
      </c>
      <c r="D241" s="245">
        <v>0</v>
      </c>
      <c r="E241" s="245">
        <v>136.75</v>
      </c>
      <c r="F241" s="245">
        <v>0</v>
      </c>
      <c r="G241" s="245">
        <v>6431.38</v>
      </c>
      <c r="H241" s="245">
        <v>0</v>
      </c>
      <c r="I241" s="250">
        <v>6431.38</v>
      </c>
      <c r="J241" s="244" t="s">
        <v>1123</v>
      </c>
      <c r="L241" s="223">
        <f>SUMIF('VC detail'!C:C,B241,'VC detail'!E:E)</f>
        <v>0</v>
      </c>
      <c r="M241" s="223">
        <f t="shared" si="6"/>
        <v>6431.38</v>
      </c>
      <c r="N241" s="223"/>
      <c r="O241" s="280">
        <f t="shared" si="7"/>
        <v>6431.38</v>
      </c>
      <c r="P241" s="215" t="e">
        <f>VLOOKUP(B241,#REF!,6,0)</f>
        <v>#REF!</v>
      </c>
    </row>
    <row r="242" spans="1:16">
      <c r="A242" s="221" t="str">
        <f t="shared" si="8"/>
        <v>549</v>
      </c>
      <c r="B242" s="215">
        <v>5499300000</v>
      </c>
      <c r="C242" s="244" t="s">
        <v>1463</v>
      </c>
      <c r="D242" s="245">
        <v>0</v>
      </c>
      <c r="E242" s="245">
        <v>8.5</v>
      </c>
      <c r="F242" s="245">
        <v>0</v>
      </c>
      <c r="G242" s="245">
        <v>1081.58</v>
      </c>
      <c r="H242" s="245">
        <v>0</v>
      </c>
      <c r="I242" s="250">
        <v>1081.58</v>
      </c>
      <c r="J242" s="244" t="s">
        <v>1124</v>
      </c>
      <c r="L242" s="223">
        <f>SUMIF('VC detail'!C:C,B242,'VC detail'!E:E)</f>
        <v>0</v>
      </c>
      <c r="M242" s="223">
        <f t="shared" si="6"/>
        <v>1081.58</v>
      </c>
      <c r="N242" s="223"/>
      <c r="O242" s="280">
        <f t="shared" si="7"/>
        <v>1081.58</v>
      </c>
      <c r="P242" s="215" t="e">
        <f>VLOOKUP(B242,#REF!,6,0)</f>
        <v>#REF!</v>
      </c>
    </row>
    <row r="243" spans="1:16">
      <c r="A243" s="221" t="str">
        <f t="shared" si="8"/>
        <v>549</v>
      </c>
      <c r="B243" s="215">
        <v>5499400000</v>
      </c>
      <c r="C243" s="244" t="s">
        <v>1464</v>
      </c>
      <c r="D243" s="245">
        <v>0</v>
      </c>
      <c r="E243" s="245">
        <v>101.81</v>
      </c>
      <c r="F243" s="245">
        <v>0</v>
      </c>
      <c r="G243" s="245">
        <v>1663.81</v>
      </c>
      <c r="H243" s="245">
        <v>0</v>
      </c>
      <c r="I243" s="250">
        <v>1663.81</v>
      </c>
      <c r="J243" s="244" t="s">
        <v>1125</v>
      </c>
      <c r="L243" s="223">
        <f>SUMIF('VC detail'!C:C,B243,'VC detail'!E:E)</f>
        <v>0</v>
      </c>
      <c r="M243" s="223">
        <f t="shared" si="6"/>
        <v>1663.81</v>
      </c>
      <c r="N243" s="223"/>
      <c r="O243" s="280">
        <f t="shared" si="7"/>
        <v>1663.81</v>
      </c>
      <c r="P243" s="215" t="e">
        <f>VLOOKUP(B243,#REF!,6,0)</f>
        <v>#REF!</v>
      </c>
    </row>
    <row r="244" spans="1:16">
      <c r="A244" s="221" t="str">
        <f t="shared" si="8"/>
        <v>549</v>
      </c>
      <c r="B244" s="215">
        <v>5499700000</v>
      </c>
      <c r="C244" s="244" t="s">
        <v>1465</v>
      </c>
      <c r="D244" s="245">
        <v>0</v>
      </c>
      <c r="E244" s="245">
        <v>-6959.21</v>
      </c>
      <c r="F244" s="245">
        <v>0</v>
      </c>
      <c r="G244" s="245">
        <v>-6959.21</v>
      </c>
      <c r="H244" s="245">
        <v>0</v>
      </c>
      <c r="I244" s="250">
        <v>-6959.21</v>
      </c>
      <c r="J244" s="244" t="s">
        <v>1126</v>
      </c>
      <c r="L244" s="223">
        <f>SUMIF('VC detail'!C:C,B244,'VC detail'!E:E)</f>
        <v>0</v>
      </c>
      <c r="M244" s="223">
        <f t="shared" si="6"/>
        <v>-6959.21</v>
      </c>
      <c r="N244" s="223"/>
      <c r="O244" s="280">
        <f t="shared" si="7"/>
        <v>-6959.21</v>
      </c>
      <c r="P244" s="215" t="e">
        <f>VLOOKUP(B244,#REF!,6,0)</f>
        <v>#REF!</v>
      </c>
    </row>
    <row r="245" spans="1:16">
      <c r="A245" s="221" t="str">
        <f t="shared" si="8"/>
        <v>551</v>
      </c>
      <c r="B245" s="215">
        <v>5511100000</v>
      </c>
      <c r="C245" s="244" t="s">
        <v>1466</v>
      </c>
      <c r="D245" s="245">
        <v>0</v>
      </c>
      <c r="E245" s="245">
        <v>5021.93</v>
      </c>
      <c r="F245" s="245">
        <v>0</v>
      </c>
      <c r="G245" s="245">
        <v>45731.31</v>
      </c>
      <c r="H245" s="245">
        <v>0</v>
      </c>
      <c r="I245" s="250">
        <v>45731.31</v>
      </c>
      <c r="J245" s="244" t="s">
        <v>1127</v>
      </c>
      <c r="L245" s="223">
        <f>SUMIF('VC detail'!C:C,B245,'VC detail'!E:E)</f>
        <v>47.92</v>
      </c>
      <c r="M245" s="223">
        <f t="shared" si="6"/>
        <v>45683.39</v>
      </c>
      <c r="N245" s="223"/>
      <c r="O245" s="280">
        <f t="shared" si="7"/>
        <v>45683.39</v>
      </c>
      <c r="P245" s="215" t="e">
        <f>VLOOKUP(B245,#REF!,6,0)</f>
        <v>#REF!</v>
      </c>
    </row>
    <row r="246" spans="1:16">
      <c r="A246" s="221" t="str">
        <f t="shared" si="8"/>
        <v>551</v>
      </c>
      <c r="B246" s="215">
        <v>5511200000</v>
      </c>
      <c r="C246" s="244" t="s">
        <v>1467</v>
      </c>
      <c r="D246" s="245">
        <v>0</v>
      </c>
      <c r="E246" s="245">
        <v>3913.67</v>
      </c>
      <c r="F246" s="245">
        <v>0</v>
      </c>
      <c r="G246" s="245">
        <v>25560.73</v>
      </c>
      <c r="H246" s="245">
        <v>0</v>
      </c>
      <c r="I246" s="250">
        <v>25560.73</v>
      </c>
      <c r="J246" s="244" t="s">
        <v>1128</v>
      </c>
      <c r="L246" s="223">
        <f>SUMIF('VC detail'!C:C,B246,'VC detail'!E:E)</f>
        <v>2101.6563651421011</v>
      </c>
      <c r="M246" s="223">
        <f t="shared" si="6"/>
        <v>23459.073634857898</v>
      </c>
      <c r="N246" s="223"/>
      <c r="O246" s="280">
        <f t="shared" si="7"/>
        <v>23459.073634857898</v>
      </c>
      <c r="P246" s="215" t="e">
        <f>VLOOKUP(B246,#REF!,6,0)</f>
        <v>#REF!</v>
      </c>
    </row>
    <row r="247" spans="1:16">
      <c r="A247" s="221" t="str">
        <f t="shared" si="8"/>
        <v>558</v>
      </c>
      <c r="B247" s="215">
        <v>5582000000</v>
      </c>
      <c r="C247" s="244" t="s">
        <v>1468</v>
      </c>
      <c r="D247" s="245">
        <v>0</v>
      </c>
      <c r="E247" s="245">
        <v>-29036</v>
      </c>
      <c r="F247" s="245">
        <v>0</v>
      </c>
      <c r="G247" s="245">
        <v>-29036</v>
      </c>
      <c r="H247" s="245">
        <v>0</v>
      </c>
      <c r="I247" s="250">
        <v>-29036</v>
      </c>
      <c r="J247" s="244" t="s">
        <v>1129</v>
      </c>
      <c r="L247" s="223">
        <f>SUMIF('VC detail'!C:C,B247,'VC detail'!E:E)</f>
        <v>0</v>
      </c>
      <c r="M247" s="223">
        <f t="shared" si="6"/>
        <v>-29036</v>
      </c>
      <c r="N247" s="223"/>
      <c r="O247" s="280">
        <f t="shared" si="7"/>
        <v>-29036</v>
      </c>
      <c r="P247" s="215" t="e">
        <f>VLOOKUP(B247,#REF!,6,0)</f>
        <v>#REF!</v>
      </c>
    </row>
    <row r="248" spans="1:16">
      <c r="A248" s="221" t="str">
        <f t="shared" si="8"/>
        <v>562</v>
      </c>
      <c r="B248" s="215">
        <v>5621000000</v>
      </c>
      <c r="C248" s="244" t="s">
        <v>1469</v>
      </c>
      <c r="D248" s="245">
        <v>0</v>
      </c>
      <c r="E248" s="245">
        <v>0</v>
      </c>
      <c r="F248" s="245">
        <v>0</v>
      </c>
      <c r="G248" s="245">
        <v>534.33000000000004</v>
      </c>
      <c r="H248" s="245">
        <v>0</v>
      </c>
      <c r="I248" s="250">
        <v>534.33000000000004</v>
      </c>
      <c r="J248" s="244" t="s">
        <v>1130</v>
      </c>
      <c r="L248" s="223">
        <f>SUMIF('VC detail'!C:C,B248,'VC detail'!E:E)</f>
        <v>0</v>
      </c>
      <c r="M248" s="223">
        <f t="shared" si="6"/>
        <v>534.33000000000004</v>
      </c>
      <c r="N248" s="223"/>
      <c r="O248" s="280">
        <f t="shared" si="7"/>
        <v>534.33000000000004</v>
      </c>
      <c r="P248" s="215" t="e">
        <f>VLOOKUP(B248,#REF!,6,0)</f>
        <v>#REF!</v>
      </c>
    </row>
    <row r="249" spans="1:16">
      <c r="A249" s="221" t="str">
        <f t="shared" si="8"/>
        <v>591</v>
      </c>
      <c r="B249" s="215">
        <v>5911000000</v>
      </c>
      <c r="C249" s="244" t="s">
        <v>1470</v>
      </c>
      <c r="D249" s="245">
        <v>0</v>
      </c>
      <c r="E249" s="245">
        <v>27121.9</v>
      </c>
      <c r="F249" s="245">
        <v>0</v>
      </c>
      <c r="G249" s="245">
        <v>27121.9</v>
      </c>
      <c r="H249" s="245">
        <v>0</v>
      </c>
      <c r="I249" s="250">
        <v>27121.9</v>
      </c>
      <c r="J249" s="244" t="s">
        <v>1223</v>
      </c>
      <c r="L249" s="223">
        <f>+VZaS_vykaz!E87</f>
        <v>0</v>
      </c>
      <c r="M249" s="223">
        <f t="shared" si="6"/>
        <v>27121.9</v>
      </c>
      <c r="N249" s="223"/>
      <c r="O249" s="280">
        <f t="shared" si="7"/>
        <v>27121.9</v>
      </c>
      <c r="P249" s="215" t="e">
        <f>VLOOKUP(B249,#REF!,6,0)</f>
        <v>#REF!</v>
      </c>
    </row>
    <row r="250" spans="1:16">
      <c r="A250" s="221" t="str">
        <f t="shared" si="8"/>
        <v>591</v>
      </c>
      <c r="B250" s="215">
        <v>5913000000</v>
      </c>
      <c r="C250" s="244" t="s">
        <v>1471</v>
      </c>
      <c r="D250" s="245">
        <v>0</v>
      </c>
      <c r="E250" s="245">
        <v>0</v>
      </c>
      <c r="F250" s="245">
        <v>0</v>
      </c>
      <c r="G250" s="245">
        <v>0.92</v>
      </c>
      <c r="H250" s="245">
        <v>0</v>
      </c>
      <c r="I250" s="250">
        <v>0.92</v>
      </c>
      <c r="J250" s="244" t="s">
        <v>1131</v>
      </c>
      <c r="L250" s="223">
        <f>SUMIF('VC detail'!C:C,B250,'VC detail'!E:E)</f>
        <v>0</v>
      </c>
      <c r="M250" s="223">
        <f t="shared" si="6"/>
        <v>0.92</v>
      </c>
      <c r="N250" s="223"/>
      <c r="O250" s="280">
        <f t="shared" si="7"/>
        <v>0.92</v>
      </c>
      <c r="P250" s="215" t="e">
        <f>VLOOKUP(B250,#REF!,6,0)</f>
        <v>#REF!</v>
      </c>
    </row>
    <row r="251" spans="1:16">
      <c r="A251" s="221" t="str">
        <f t="shared" si="8"/>
        <v>602</v>
      </c>
      <c r="B251" s="215">
        <v>6021110000</v>
      </c>
      <c r="C251" s="244" t="s">
        <v>1472</v>
      </c>
      <c r="D251" s="245">
        <v>0</v>
      </c>
      <c r="E251" s="245">
        <v>0</v>
      </c>
      <c r="F251" s="245">
        <v>1157.76</v>
      </c>
      <c r="G251" s="245">
        <v>0</v>
      </c>
      <c r="H251" s="245">
        <v>15684.71</v>
      </c>
      <c r="I251" s="250">
        <v>-15684.71</v>
      </c>
      <c r="J251" s="244" t="s">
        <v>1132</v>
      </c>
      <c r="L251" s="223">
        <f>SUMIF('VC detail'!C:C,B251,'VC detail'!E:E)</f>
        <v>0</v>
      </c>
      <c r="M251" s="223">
        <f t="shared" si="6"/>
        <v>-15684.71</v>
      </c>
      <c r="N251" s="223"/>
      <c r="O251" s="280">
        <f t="shared" si="7"/>
        <v>-15684.71</v>
      </c>
      <c r="P251" s="215" t="e">
        <f>VLOOKUP(B251,#REF!,6,0)</f>
        <v>#REF!</v>
      </c>
    </row>
    <row r="252" spans="1:16">
      <c r="A252" s="221" t="str">
        <f t="shared" si="8"/>
        <v>602</v>
      </c>
      <c r="B252" s="215">
        <v>6021120000</v>
      </c>
      <c r="C252" s="244" t="s">
        <v>1473</v>
      </c>
      <c r="D252" s="245">
        <v>0</v>
      </c>
      <c r="E252" s="245">
        <v>0</v>
      </c>
      <c r="F252" s="245">
        <v>0</v>
      </c>
      <c r="G252" s="245">
        <v>0</v>
      </c>
      <c r="H252" s="245">
        <v>29974.98</v>
      </c>
      <c r="I252" s="250">
        <v>-29974.98</v>
      </c>
      <c r="J252" s="244" t="s">
        <v>1133</v>
      </c>
      <c r="L252" s="223">
        <f>SUMIF('VC detail'!C:C,B252,'VC detail'!E:E)</f>
        <v>0</v>
      </c>
      <c r="M252" s="223">
        <f t="shared" si="6"/>
        <v>-29974.98</v>
      </c>
      <c r="N252" s="223"/>
      <c r="O252" s="280">
        <f t="shared" si="7"/>
        <v>-29974.98</v>
      </c>
      <c r="P252" s="215" t="e">
        <f>VLOOKUP(B252,#REF!,6,0)</f>
        <v>#REF!</v>
      </c>
    </row>
    <row r="253" spans="1:16">
      <c r="A253" s="221" t="str">
        <f t="shared" si="8"/>
        <v>602</v>
      </c>
      <c r="B253" s="215">
        <v>6021220000</v>
      </c>
      <c r="C253" s="244" t="s">
        <v>1474</v>
      </c>
      <c r="D253" s="245">
        <v>0</v>
      </c>
      <c r="E253" s="245">
        <v>0</v>
      </c>
      <c r="F253" s="245">
        <v>0</v>
      </c>
      <c r="G253" s="245">
        <v>0</v>
      </c>
      <c r="H253" s="245">
        <v>940.49</v>
      </c>
      <c r="I253" s="250">
        <v>-940.49</v>
      </c>
      <c r="J253" s="244" t="s">
        <v>1134</v>
      </c>
      <c r="L253" s="223">
        <f>SUMIF('VC detail'!C:C,B253,'VC detail'!E:E)</f>
        <v>-940.49</v>
      </c>
      <c r="M253" s="223">
        <f t="shared" si="6"/>
        <v>0</v>
      </c>
      <c r="N253" s="223"/>
      <c r="O253" s="280">
        <f t="shared" si="7"/>
        <v>0</v>
      </c>
      <c r="P253" s="215" t="e">
        <f>VLOOKUP(B253,#REF!,6,0)</f>
        <v>#REF!</v>
      </c>
    </row>
    <row r="254" spans="1:16">
      <c r="A254" s="221" t="str">
        <f t="shared" si="8"/>
        <v>602</v>
      </c>
      <c r="B254" s="215">
        <v>6021240000</v>
      </c>
      <c r="C254" s="244" t="s">
        <v>1475</v>
      </c>
      <c r="D254" s="245">
        <v>0</v>
      </c>
      <c r="E254" s="245">
        <v>0</v>
      </c>
      <c r="F254" s="245">
        <v>0</v>
      </c>
      <c r="G254" s="245">
        <v>0</v>
      </c>
      <c r="H254" s="245">
        <v>600</v>
      </c>
      <c r="I254" s="250">
        <v>-600</v>
      </c>
      <c r="J254" s="244" t="s">
        <v>1135</v>
      </c>
      <c r="L254" s="223">
        <f>SUMIF('VC detail'!C:C,B254,'VC detail'!E:E)</f>
        <v>-600</v>
      </c>
      <c r="M254" s="223">
        <f t="shared" si="6"/>
        <v>0</v>
      </c>
      <c r="N254" s="223"/>
      <c r="O254" s="280">
        <f t="shared" si="7"/>
        <v>0</v>
      </c>
      <c r="P254" s="215" t="e">
        <f>VLOOKUP(B254,#REF!,6,0)</f>
        <v>#REF!</v>
      </c>
    </row>
    <row r="255" spans="1:16">
      <c r="A255" s="221" t="str">
        <f t="shared" si="8"/>
        <v>602</v>
      </c>
      <c r="B255" s="215">
        <v>6021260000</v>
      </c>
      <c r="C255" s="244" t="s">
        <v>1476</v>
      </c>
      <c r="D255" s="245">
        <v>0</v>
      </c>
      <c r="E255" s="245">
        <v>0</v>
      </c>
      <c r="F255" s="245">
        <v>0</v>
      </c>
      <c r="G255" s="245">
        <v>0</v>
      </c>
      <c r="H255" s="245">
        <v>0</v>
      </c>
      <c r="I255" s="250">
        <v>0</v>
      </c>
      <c r="J255" s="244" t="s">
        <v>1136</v>
      </c>
      <c r="L255" s="223">
        <f>SUMIF('VC detail'!C:C,B255,'VC detail'!E:E)</f>
        <v>0</v>
      </c>
      <c r="M255" s="223">
        <f t="shared" si="6"/>
        <v>0</v>
      </c>
      <c r="N255" s="223"/>
      <c r="O255" s="280">
        <f t="shared" si="7"/>
        <v>0</v>
      </c>
      <c r="P255" s="215" t="e">
        <f>VLOOKUP(B255,#REF!,6,0)</f>
        <v>#REF!</v>
      </c>
    </row>
    <row r="256" spans="1:16">
      <c r="A256" s="221" t="str">
        <f t="shared" si="8"/>
        <v>602</v>
      </c>
      <c r="B256" s="215">
        <v>6021280000</v>
      </c>
      <c r="C256" s="244" t="s">
        <v>1477</v>
      </c>
      <c r="D256" s="245">
        <v>0</v>
      </c>
      <c r="E256" s="245">
        <v>0</v>
      </c>
      <c r="F256" s="245">
        <v>0</v>
      </c>
      <c r="G256" s="245">
        <v>0</v>
      </c>
      <c r="H256" s="245">
        <v>55.22</v>
      </c>
      <c r="I256" s="250">
        <v>-55.22</v>
      </c>
      <c r="J256" s="244" t="s">
        <v>1137</v>
      </c>
      <c r="L256" s="223">
        <f>SUMIF('VC detail'!C:C,B256,'VC detail'!E:E)</f>
        <v>-55.22</v>
      </c>
      <c r="M256" s="223">
        <f t="shared" si="6"/>
        <v>0</v>
      </c>
      <c r="N256" s="223"/>
      <c r="O256" s="280">
        <f t="shared" si="7"/>
        <v>0</v>
      </c>
      <c r="P256" s="215" t="e">
        <f>VLOOKUP(B256,#REF!,6,0)</f>
        <v>#REF!</v>
      </c>
    </row>
    <row r="257" spans="1:16">
      <c r="A257" s="221" t="str">
        <f t="shared" si="8"/>
        <v>602</v>
      </c>
      <c r="B257" s="215">
        <v>6021320000</v>
      </c>
      <c r="C257" s="244" t="s">
        <v>1478</v>
      </c>
      <c r="D257" s="245">
        <v>0</v>
      </c>
      <c r="E257" s="245">
        <v>0</v>
      </c>
      <c r="F257" s="245">
        <v>0</v>
      </c>
      <c r="G257" s="245">
        <v>0</v>
      </c>
      <c r="H257" s="245">
        <v>509.93</v>
      </c>
      <c r="I257" s="250">
        <v>-509.93</v>
      </c>
      <c r="J257" s="244" t="s">
        <v>1138</v>
      </c>
      <c r="L257" s="223">
        <f>SUMIF('VC detail'!C:C,B257,'VC detail'!E:E)</f>
        <v>-509.93</v>
      </c>
      <c r="M257" s="223">
        <f t="shared" si="6"/>
        <v>0</v>
      </c>
      <c r="N257" s="223"/>
      <c r="O257" s="280">
        <f t="shared" si="7"/>
        <v>0</v>
      </c>
      <c r="P257" s="215" t="e">
        <f>VLOOKUP(B257,#REF!,6,0)</f>
        <v>#REF!</v>
      </c>
    </row>
    <row r="258" spans="1:16">
      <c r="A258" s="221" t="str">
        <f t="shared" si="8"/>
        <v>602</v>
      </c>
      <c r="B258" s="215">
        <v>6021520000</v>
      </c>
      <c r="C258" s="244" t="s">
        <v>1479</v>
      </c>
      <c r="D258" s="245">
        <v>0</v>
      </c>
      <c r="E258" s="245">
        <v>0</v>
      </c>
      <c r="F258" s="245">
        <v>126.87</v>
      </c>
      <c r="G258" s="245">
        <v>119.25</v>
      </c>
      <c r="H258" s="245">
        <v>3075.11</v>
      </c>
      <c r="I258" s="250">
        <v>-2955.86</v>
      </c>
      <c r="J258" s="244" t="s">
        <v>1139</v>
      </c>
      <c r="L258" s="223">
        <f>SUMIF('VC detail'!C:C,B258,'VC detail'!E:E)</f>
        <v>-2955.86</v>
      </c>
      <c r="M258" s="223">
        <f t="shared" si="6"/>
        <v>0</v>
      </c>
      <c r="N258" s="223"/>
      <c r="O258" s="280">
        <f t="shared" si="7"/>
        <v>0</v>
      </c>
      <c r="P258" s="215" t="e">
        <f>VLOOKUP(B258,#REF!,6,0)</f>
        <v>#REF!</v>
      </c>
    </row>
    <row r="259" spans="1:16">
      <c r="A259" s="221" t="str">
        <f t="shared" si="8"/>
        <v>602</v>
      </c>
      <c r="B259" s="215">
        <v>6021620000</v>
      </c>
      <c r="C259" s="244" t="s">
        <v>1480</v>
      </c>
      <c r="D259" s="245">
        <v>0</v>
      </c>
      <c r="E259" s="245">
        <v>0</v>
      </c>
      <c r="F259" s="245">
        <v>0</v>
      </c>
      <c r="G259" s="245">
        <v>0</v>
      </c>
      <c r="H259" s="245">
        <v>43</v>
      </c>
      <c r="I259" s="250">
        <v>-43</v>
      </c>
      <c r="J259" s="244" t="s">
        <v>1140</v>
      </c>
      <c r="L259" s="223">
        <f>SUMIF('VC detail'!C:C,B259,'VC detail'!E:E)</f>
        <v>-43</v>
      </c>
      <c r="M259" s="223">
        <f t="shared" si="6"/>
        <v>0</v>
      </c>
      <c r="N259" s="223"/>
      <c r="O259" s="280">
        <f t="shared" si="7"/>
        <v>0</v>
      </c>
      <c r="P259" s="215" t="e">
        <f>VLOOKUP(B259,#REF!,6,0)</f>
        <v>#REF!</v>
      </c>
    </row>
    <row r="260" spans="1:16">
      <c r="A260" s="221" t="str">
        <f t="shared" si="8"/>
        <v>602</v>
      </c>
      <c r="B260" s="215">
        <v>6021810000</v>
      </c>
      <c r="C260" s="244" t="s">
        <v>1481</v>
      </c>
      <c r="D260" s="245">
        <v>0</v>
      </c>
      <c r="E260" s="245">
        <v>0</v>
      </c>
      <c r="F260" s="245">
        <v>210.97</v>
      </c>
      <c r="G260" s="245">
        <v>0</v>
      </c>
      <c r="H260" s="245">
        <v>1566.91</v>
      </c>
      <c r="I260" s="250">
        <v>-1566.91</v>
      </c>
      <c r="J260" s="244" t="s">
        <v>1141</v>
      </c>
      <c r="L260" s="223">
        <f>SUMIF('VC detail'!C:C,B260,'VC detail'!E:E)</f>
        <v>-1566.91</v>
      </c>
      <c r="M260" s="223">
        <f t="shared" si="6"/>
        <v>0</v>
      </c>
      <c r="N260" s="223"/>
      <c r="O260" s="280">
        <f t="shared" si="7"/>
        <v>0</v>
      </c>
      <c r="P260" s="215" t="e">
        <f>VLOOKUP(B260,#REF!,6,0)</f>
        <v>#REF!</v>
      </c>
    </row>
    <row r="261" spans="1:16">
      <c r="A261" s="221" t="str">
        <f t="shared" si="8"/>
        <v>602</v>
      </c>
      <c r="B261" s="215">
        <v>6021920000</v>
      </c>
      <c r="C261" s="244" t="s">
        <v>1482</v>
      </c>
      <c r="D261" s="245">
        <v>0</v>
      </c>
      <c r="E261" s="245">
        <v>0</v>
      </c>
      <c r="F261" s="245">
        <v>-1404.84</v>
      </c>
      <c r="G261" s="245">
        <v>0</v>
      </c>
      <c r="H261" s="245">
        <v>25281.81</v>
      </c>
      <c r="I261" s="250">
        <v>-25281.81</v>
      </c>
      <c r="J261" s="244" t="s">
        <v>1142</v>
      </c>
      <c r="L261" s="223">
        <f>SUMIF('VC detail'!C:C,B261,'VC detail'!E:E)</f>
        <v>-25281.81</v>
      </c>
      <c r="M261" s="223">
        <f t="shared" si="6"/>
        <v>0</v>
      </c>
      <c r="N261" s="223"/>
      <c r="O261" s="280">
        <f t="shared" si="7"/>
        <v>0</v>
      </c>
      <c r="P261" s="215" t="e">
        <f>VLOOKUP(B261,#REF!,6,0)</f>
        <v>#REF!</v>
      </c>
    </row>
    <row r="262" spans="1:16">
      <c r="A262" s="221" t="str">
        <f t="shared" si="8"/>
        <v>602</v>
      </c>
      <c r="B262" s="215">
        <v>6021940000</v>
      </c>
      <c r="C262" s="244" t="s">
        <v>1483</v>
      </c>
      <c r="D262" s="245">
        <v>0</v>
      </c>
      <c r="E262" s="245">
        <v>0</v>
      </c>
      <c r="F262" s="245">
        <v>3345.91</v>
      </c>
      <c r="G262" s="245">
        <v>0</v>
      </c>
      <c r="H262" s="245">
        <v>18074.54</v>
      </c>
      <c r="I262" s="250">
        <v>-18074.54</v>
      </c>
      <c r="J262" s="244" t="s">
        <v>1143</v>
      </c>
      <c r="L262" s="223">
        <f>SUMIF('VC detail'!C:C,B262,'VC detail'!E:E)</f>
        <v>-18074.54</v>
      </c>
      <c r="M262" s="223">
        <f t="shared" si="6"/>
        <v>0</v>
      </c>
      <c r="N262" s="223"/>
      <c r="O262" s="280">
        <f t="shared" si="7"/>
        <v>0</v>
      </c>
      <c r="P262" s="215" t="e">
        <f>VLOOKUP(B262,#REF!,6,0)</f>
        <v>#REF!</v>
      </c>
    </row>
    <row r="263" spans="1:16">
      <c r="A263" s="221" t="str">
        <f t="shared" si="8"/>
        <v>602</v>
      </c>
      <c r="B263" s="215">
        <v>6021950000</v>
      </c>
      <c r="C263" s="244" t="s">
        <v>1484</v>
      </c>
      <c r="D263" s="245">
        <v>0</v>
      </c>
      <c r="E263" s="245">
        <v>0</v>
      </c>
      <c r="F263" s="245">
        <v>0</v>
      </c>
      <c r="G263" s="245">
        <v>0</v>
      </c>
      <c r="H263" s="245">
        <v>1.67</v>
      </c>
      <c r="I263" s="250">
        <v>-1.67</v>
      </c>
      <c r="J263" s="244" t="s">
        <v>1144</v>
      </c>
      <c r="L263" s="223">
        <f>SUMIF('VC detail'!C:C,B263,'VC detail'!E:E)</f>
        <v>-1.67</v>
      </c>
      <c r="M263" s="223">
        <f t="shared" si="6"/>
        <v>0</v>
      </c>
      <c r="N263" s="223"/>
      <c r="O263" s="280">
        <f t="shared" si="7"/>
        <v>0</v>
      </c>
      <c r="P263" s="215" t="e">
        <f>VLOOKUP(B263,#REF!,6,0)</f>
        <v>#REF!</v>
      </c>
    </row>
    <row r="264" spans="1:16">
      <c r="A264" s="221" t="str">
        <f t="shared" si="8"/>
        <v>602</v>
      </c>
      <c r="B264" s="215">
        <v>6021960000</v>
      </c>
      <c r="C264" s="244" t="s">
        <v>1485</v>
      </c>
      <c r="D264" s="245">
        <v>0</v>
      </c>
      <c r="E264" s="245">
        <v>0</v>
      </c>
      <c r="F264" s="245">
        <v>2694</v>
      </c>
      <c r="G264" s="245">
        <v>0</v>
      </c>
      <c r="H264" s="245">
        <v>15140.64</v>
      </c>
      <c r="I264" s="250">
        <v>-15140.64</v>
      </c>
      <c r="J264" s="244" t="s">
        <v>1145</v>
      </c>
      <c r="L264" s="223">
        <f>SUMIF('VC detail'!C:C,B264,'VC detail'!E:E)</f>
        <v>-15140.64</v>
      </c>
      <c r="M264" s="223">
        <f t="shared" si="6"/>
        <v>0</v>
      </c>
      <c r="N264" s="223"/>
      <c r="O264" s="280">
        <f t="shared" si="7"/>
        <v>0</v>
      </c>
      <c r="P264" s="215" t="e">
        <f>VLOOKUP(B264,#REF!,6,0)</f>
        <v>#REF!</v>
      </c>
    </row>
    <row r="265" spans="1:16">
      <c r="A265" s="221" t="str">
        <f t="shared" si="8"/>
        <v>602</v>
      </c>
      <c r="B265" s="215">
        <v>6021990000</v>
      </c>
      <c r="C265" s="244" t="s">
        <v>1486</v>
      </c>
      <c r="D265" s="245">
        <v>0</v>
      </c>
      <c r="E265" s="245">
        <v>0</v>
      </c>
      <c r="F265" s="245">
        <v>309</v>
      </c>
      <c r="G265" s="245">
        <v>0</v>
      </c>
      <c r="H265" s="245">
        <v>9443.15</v>
      </c>
      <c r="I265" s="250">
        <v>-9443.15</v>
      </c>
      <c r="J265" s="244" t="s">
        <v>1146</v>
      </c>
      <c r="L265" s="223">
        <f>SUMIF('VC detail'!C:C,B265,'VC detail'!E:E)</f>
        <v>-11023.99</v>
      </c>
      <c r="M265" s="223">
        <f t="shared" si="6"/>
        <v>1580.8400000000001</v>
      </c>
      <c r="N265" s="223">
        <f>-M265</f>
        <v>-1580.8400000000001</v>
      </c>
      <c r="O265" s="280">
        <f t="shared" si="7"/>
        <v>0</v>
      </c>
      <c r="P265" s="215" t="e">
        <f>VLOOKUP(B265,#REF!,6,0)</f>
        <v>#REF!</v>
      </c>
    </row>
    <row r="266" spans="1:16">
      <c r="A266" s="221" t="str">
        <f t="shared" si="8"/>
        <v>602</v>
      </c>
      <c r="B266" s="215">
        <v>6022000000</v>
      </c>
      <c r="C266" s="244" t="s">
        <v>1487</v>
      </c>
      <c r="D266" s="245">
        <v>0</v>
      </c>
      <c r="E266" s="245">
        <v>0</v>
      </c>
      <c r="F266" s="245">
        <v>18975</v>
      </c>
      <c r="G266" s="245">
        <v>0</v>
      </c>
      <c r="H266" s="245">
        <v>227700</v>
      </c>
      <c r="I266" s="250">
        <v>-227700</v>
      </c>
      <c r="J266" s="244" t="s">
        <v>1147</v>
      </c>
      <c r="L266" s="223">
        <f>SUMIF('VC detail'!C:C,B266,'VC detail'!E:E)</f>
        <v>-227700</v>
      </c>
      <c r="M266" s="223">
        <f t="shared" si="6"/>
        <v>0</v>
      </c>
      <c r="N266" s="223"/>
      <c r="O266" s="280">
        <f t="shared" si="7"/>
        <v>0</v>
      </c>
      <c r="P266" s="215" t="e">
        <f>VLOOKUP(B266,#REF!,6,0)</f>
        <v>#REF!</v>
      </c>
    </row>
    <row r="267" spans="1:16">
      <c r="A267" s="221" t="str">
        <f t="shared" si="8"/>
        <v>602</v>
      </c>
      <c r="B267" s="215">
        <v>6022010000</v>
      </c>
      <c r="C267" s="244" t="s">
        <v>1488</v>
      </c>
      <c r="D267" s="245">
        <v>0</v>
      </c>
      <c r="E267" s="245">
        <v>0</v>
      </c>
      <c r="F267" s="245">
        <v>1503.1</v>
      </c>
      <c r="G267" s="245">
        <v>0</v>
      </c>
      <c r="H267" s="245">
        <v>3367.42</v>
      </c>
      <c r="I267" s="250">
        <v>-3367.42</v>
      </c>
      <c r="J267" s="244" t="s">
        <v>1148</v>
      </c>
      <c r="L267" s="223">
        <f>SUMIF('VC detail'!C:C,B267,'VC detail'!E:E)</f>
        <v>-3367.42</v>
      </c>
      <c r="M267" s="223">
        <f t="shared" si="6"/>
        <v>0</v>
      </c>
      <c r="N267" s="223"/>
      <c r="O267" s="280">
        <f t="shared" si="7"/>
        <v>0</v>
      </c>
      <c r="P267" s="275" t="s">
        <v>1631</v>
      </c>
    </row>
    <row r="268" spans="1:16">
      <c r="A268" s="221" t="str">
        <f t="shared" si="8"/>
        <v>602</v>
      </c>
      <c r="B268" s="215">
        <v>6022100000</v>
      </c>
      <c r="C268" s="244" t="s">
        <v>1489</v>
      </c>
      <c r="D268" s="245">
        <v>0</v>
      </c>
      <c r="E268" s="245">
        <v>0</v>
      </c>
      <c r="F268" s="245">
        <v>50</v>
      </c>
      <c r="G268" s="245">
        <v>0</v>
      </c>
      <c r="H268" s="245">
        <v>213.86</v>
      </c>
      <c r="I268" s="250">
        <v>-213.86</v>
      </c>
      <c r="J268" s="244" t="s">
        <v>1149</v>
      </c>
      <c r="L268" s="223">
        <f>SUMIF('VC detail'!C:C,B268,'VC detail'!E:E)</f>
        <v>0</v>
      </c>
      <c r="M268" s="223">
        <f t="shared" si="6"/>
        <v>-213.86</v>
      </c>
      <c r="N268" s="223">
        <f>-N265</f>
        <v>1580.8400000000001</v>
      </c>
      <c r="O268" s="280">
        <f t="shared" si="7"/>
        <v>1366.98</v>
      </c>
      <c r="P268" s="275" t="s">
        <v>1628</v>
      </c>
    </row>
    <row r="269" spans="1:16">
      <c r="A269" s="221" t="str">
        <f t="shared" si="8"/>
        <v>602</v>
      </c>
      <c r="B269" s="215">
        <v>6022110000</v>
      </c>
      <c r="C269" s="244" t="s">
        <v>1490</v>
      </c>
      <c r="D269" s="245">
        <v>0</v>
      </c>
      <c r="E269" s="245">
        <v>0</v>
      </c>
      <c r="F269" s="245">
        <v>30</v>
      </c>
      <c r="G269" s="245">
        <v>0</v>
      </c>
      <c r="H269" s="245">
        <v>430.95</v>
      </c>
      <c r="I269" s="250">
        <v>-430.95</v>
      </c>
      <c r="J269" s="244" t="s">
        <v>1150</v>
      </c>
      <c r="L269" s="223">
        <f>SUMIF('VC detail'!C:C,B269,'VC detail'!E:E)</f>
        <v>0</v>
      </c>
      <c r="M269" s="223">
        <f t="shared" si="6"/>
        <v>-430.95</v>
      </c>
      <c r="N269" s="223"/>
      <c r="O269" s="280">
        <f t="shared" si="7"/>
        <v>-430.95</v>
      </c>
      <c r="P269" s="215" t="e">
        <f>VLOOKUP(B269,#REF!,6,0)</f>
        <v>#REF!</v>
      </c>
    </row>
    <row r="270" spans="1:16">
      <c r="A270" s="221" t="str">
        <f t="shared" si="8"/>
        <v>602</v>
      </c>
      <c r="B270" s="215">
        <v>6022120000</v>
      </c>
      <c r="C270" s="244" t="s">
        <v>1491</v>
      </c>
      <c r="D270" s="245">
        <v>0</v>
      </c>
      <c r="E270" s="245">
        <v>0</v>
      </c>
      <c r="F270" s="245">
        <v>0</v>
      </c>
      <c r="G270" s="245">
        <v>0</v>
      </c>
      <c r="H270" s="245">
        <v>237.52</v>
      </c>
      <c r="I270" s="250">
        <v>-237.52</v>
      </c>
      <c r="J270" s="244" t="s">
        <v>1151</v>
      </c>
      <c r="L270" s="223">
        <f>SUMIF('VC detail'!C:C,B270,'VC detail'!E:E)</f>
        <v>0</v>
      </c>
      <c r="M270" s="223">
        <f t="shared" si="6"/>
        <v>-237.52</v>
      </c>
      <c r="N270" s="223"/>
      <c r="O270" s="280">
        <f t="shared" si="7"/>
        <v>-237.52</v>
      </c>
      <c r="P270" s="215" t="e">
        <f>VLOOKUP(B270,#REF!,6,0)</f>
        <v>#REF!</v>
      </c>
    </row>
    <row r="271" spans="1:16">
      <c r="A271" s="221" t="str">
        <f t="shared" si="8"/>
        <v>602</v>
      </c>
      <c r="B271" s="215">
        <v>6022130000</v>
      </c>
      <c r="C271" s="244" t="s">
        <v>1492</v>
      </c>
      <c r="D271" s="245">
        <v>0</v>
      </c>
      <c r="E271" s="245">
        <v>0</v>
      </c>
      <c r="F271" s="245">
        <v>2282.06</v>
      </c>
      <c r="G271" s="245">
        <v>248.95</v>
      </c>
      <c r="H271" s="245">
        <v>18463.59</v>
      </c>
      <c r="I271" s="250">
        <v>-18214.64</v>
      </c>
      <c r="J271" s="244" t="s">
        <v>1152</v>
      </c>
      <c r="L271" s="223">
        <f>SUMIF('VC detail'!C:C,B271,'VC detail'!E:E)</f>
        <v>0</v>
      </c>
      <c r="M271" s="223">
        <f t="shared" si="6"/>
        <v>-18214.64</v>
      </c>
      <c r="N271" s="223"/>
      <c r="O271" s="280">
        <f t="shared" si="7"/>
        <v>-18214.64</v>
      </c>
      <c r="P271" s="215" t="e">
        <f>VLOOKUP(B271,#REF!,6,0)</f>
        <v>#REF!</v>
      </c>
    </row>
    <row r="272" spans="1:16">
      <c r="A272" s="221" t="str">
        <f t="shared" si="8"/>
        <v>602</v>
      </c>
      <c r="B272" s="215">
        <v>6022140000</v>
      </c>
      <c r="C272" s="244" t="s">
        <v>1493</v>
      </c>
      <c r="D272" s="245">
        <v>0</v>
      </c>
      <c r="E272" s="245">
        <v>0</v>
      </c>
      <c r="F272" s="245">
        <v>1243.75</v>
      </c>
      <c r="G272" s="245">
        <v>0</v>
      </c>
      <c r="H272" s="245">
        <v>13295.22</v>
      </c>
      <c r="I272" s="250">
        <v>-13295.22</v>
      </c>
      <c r="J272" s="244" t="s">
        <v>1153</v>
      </c>
      <c r="L272" s="223">
        <f>SUMIF('VC detail'!C:C,B272,'VC detail'!E:E)</f>
        <v>0</v>
      </c>
      <c r="M272" s="223">
        <f t="shared" si="6"/>
        <v>-13295.22</v>
      </c>
      <c r="N272" s="223"/>
      <c r="O272" s="280">
        <f t="shared" si="7"/>
        <v>-13295.22</v>
      </c>
      <c r="P272" s="215" t="e">
        <f>VLOOKUP(B272,#REF!,6,0)</f>
        <v>#REF!</v>
      </c>
    </row>
    <row r="273" spans="1:16">
      <c r="A273" s="221" t="str">
        <f t="shared" si="8"/>
        <v>602</v>
      </c>
      <c r="B273" s="215">
        <v>6022150000</v>
      </c>
      <c r="C273" s="244" t="s">
        <v>1494</v>
      </c>
      <c r="D273" s="245">
        <v>0</v>
      </c>
      <c r="E273" s="245">
        <v>0</v>
      </c>
      <c r="F273" s="245">
        <v>164.05</v>
      </c>
      <c r="G273" s="245">
        <v>0</v>
      </c>
      <c r="H273" s="245">
        <v>1992.79</v>
      </c>
      <c r="I273" s="250">
        <v>-1992.79</v>
      </c>
      <c r="J273" s="244" t="s">
        <v>1154</v>
      </c>
      <c r="L273" s="223">
        <f>SUMIF('VC detail'!C:C,B273,'VC detail'!E:E)</f>
        <v>-1992.79</v>
      </c>
      <c r="M273" s="223">
        <f t="shared" si="6"/>
        <v>0</v>
      </c>
      <c r="N273" s="223"/>
      <c r="O273" s="280">
        <f t="shared" si="7"/>
        <v>0</v>
      </c>
      <c r="P273" s="215" t="e">
        <f>VLOOKUP(B273,#REF!,6,0)</f>
        <v>#REF!</v>
      </c>
    </row>
    <row r="274" spans="1:16">
      <c r="A274" s="221" t="str">
        <f t="shared" si="8"/>
        <v>602</v>
      </c>
      <c r="B274" s="215">
        <v>6022160000</v>
      </c>
      <c r="C274" s="244" t="s">
        <v>1495</v>
      </c>
      <c r="D274" s="245">
        <v>0</v>
      </c>
      <c r="E274" s="245">
        <v>0</v>
      </c>
      <c r="F274" s="245">
        <v>950</v>
      </c>
      <c r="G274" s="245">
        <v>0</v>
      </c>
      <c r="H274" s="245">
        <v>13436.63</v>
      </c>
      <c r="I274" s="250">
        <v>-13436.63</v>
      </c>
      <c r="J274" s="244" t="s">
        <v>1155</v>
      </c>
      <c r="L274" s="223">
        <f>SUMIF('VC detail'!C:C,B274,'VC detail'!E:E)</f>
        <v>0</v>
      </c>
      <c r="M274" s="223">
        <f t="shared" si="6"/>
        <v>-13436.63</v>
      </c>
      <c r="N274" s="223"/>
      <c r="O274" s="280">
        <f t="shared" si="7"/>
        <v>-13436.63</v>
      </c>
      <c r="P274" s="215" t="e">
        <f>VLOOKUP(B274,#REF!,6,0)</f>
        <v>#REF!</v>
      </c>
    </row>
    <row r="275" spans="1:16">
      <c r="A275" s="221" t="str">
        <f t="shared" si="8"/>
        <v>602</v>
      </c>
      <c r="B275" s="215">
        <v>6022170000</v>
      </c>
      <c r="C275" s="244" t="s">
        <v>1496</v>
      </c>
      <c r="D275" s="245">
        <v>0</v>
      </c>
      <c r="E275" s="245">
        <v>0</v>
      </c>
      <c r="F275" s="245">
        <v>1356.67</v>
      </c>
      <c r="G275" s="245">
        <v>0</v>
      </c>
      <c r="H275" s="245">
        <v>13278.09</v>
      </c>
      <c r="I275" s="250">
        <v>-13278.09</v>
      </c>
      <c r="J275" s="244" t="s">
        <v>1156</v>
      </c>
      <c r="L275" s="223">
        <f>SUMIF('VC detail'!C:C,B275,'VC detail'!E:E)</f>
        <v>-13278.09</v>
      </c>
      <c r="M275" s="223">
        <f t="shared" si="6"/>
        <v>0</v>
      </c>
      <c r="N275" s="223"/>
      <c r="O275" s="280">
        <f t="shared" si="7"/>
        <v>0</v>
      </c>
      <c r="P275" s="215" t="e">
        <f>VLOOKUP(B275,#REF!,6,0)</f>
        <v>#REF!</v>
      </c>
    </row>
    <row r="276" spans="1:16">
      <c r="A276" s="221" t="str">
        <f t="shared" si="8"/>
        <v>602</v>
      </c>
      <c r="B276" s="215">
        <v>6022180000</v>
      </c>
      <c r="C276" s="244" t="s">
        <v>1497</v>
      </c>
      <c r="D276" s="245">
        <v>0</v>
      </c>
      <c r="E276" s="245">
        <v>0</v>
      </c>
      <c r="F276" s="245">
        <v>258.33999999999997</v>
      </c>
      <c r="G276" s="245">
        <v>0</v>
      </c>
      <c r="H276" s="245">
        <v>1566.71</v>
      </c>
      <c r="I276" s="250">
        <v>-1566.71</v>
      </c>
      <c r="J276" s="244" t="s">
        <v>1157</v>
      </c>
      <c r="L276" s="223">
        <f>SUMIF('VC detail'!C:C,B276,'VC detail'!E:E)</f>
        <v>0</v>
      </c>
      <c r="M276" s="223">
        <f t="shared" si="6"/>
        <v>-1566.71</v>
      </c>
      <c r="N276" s="223"/>
      <c r="O276" s="280">
        <f t="shared" si="7"/>
        <v>-1566.71</v>
      </c>
      <c r="P276" s="215" t="e">
        <f>VLOOKUP(B276,#REF!,6,0)</f>
        <v>#REF!</v>
      </c>
    </row>
    <row r="277" spans="1:16">
      <c r="A277" s="221" t="str">
        <f t="shared" si="8"/>
        <v>602</v>
      </c>
      <c r="B277" s="215">
        <v>6022190000</v>
      </c>
      <c r="C277" s="244" t="s">
        <v>1498</v>
      </c>
      <c r="D277" s="245">
        <v>0</v>
      </c>
      <c r="E277" s="245">
        <v>0</v>
      </c>
      <c r="F277" s="245">
        <v>0</v>
      </c>
      <c r="G277" s="245">
        <v>0</v>
      </c>
      <c r="H277" s="245">
        <v>424.32</v>
      </c>
      <c r="I277" s="250">
        <v>-424.32</v>
      </c>
      <c r="J277" s="244" t="s">
        <v>1158</v>
      </c>
      <c r="L277" s="223">
        <f>SUMIF('VC detail'!C:C,B277,'VC detail'!E:E)</f>
        <v>-424.32</v>
      </c>
      <c r="M277" s="223">
        <f t="shared" si="6"/>
        <v>0</v>
      </c>
      <c r="N277" s="223"/>
      <c r="O277" s="280">
        <f t="shared" si="7"/>
        <v>0</v>
      </c>
      <c r="P277" s="215" t="e">
        <f>VLOOKUP(B277,#REF!,6,0)</f>
        <v>#REF!</v>
      </c>
    </row>
    <row r="278" spans="1:16">
      <c r="A278" s="221" t="str">
        <f t="shared" si="8"/>
        <v>602</v>
      </c>
      <c r="B278" s="215">
        <v>6022200000</v>
      </c>
      <c r="C278" s="244" t="s">
        <v>1499</v>
      </c>
      <c r="D278" s="245">
        <v>0</v>
      </c>
      <c r="E278" s="245">
        <v>0</v>
      </c>
      <c r="F278" s="245">
        <v>137.5</v>
      </c>
      <c r="G278" s="245">
        <v>0</v>
      </c>
      <c r="H278" s="245">
        <v>3248.5</v>
      </c>
      <c r="I278" s="250">
        <v>-3248.5</v>
      </c>
      <c r="J278" s="244" t="s">
        <v>1159</v>
      </c>
      <c r="L278" s="223">
        <f>SUMIF('VC detail'!C:C,B278,'VC detail'!E:E)</f>
        <v>-3248.5</v>
      </c>
      <c r="M278" s="223">
        <f t="shared" si="6"/>
        <v>0</v>
      </c>
      <c r="N278" s="223"/>
      <c r="O278" s="280">
        <f t="shared" si="7"/>
        <v>0</v>
      </c>
      <c r="P278" s="275" t="s">
        <v>1628</v>
      </c>
    </row>
    <row r="279" spans="1:16">
      <c r="A279" s="221" t="str">
        <f t="shared" si="8"/>
        <v>602</v>
      </c>
      <c r="B279" s="215">
        <v>6022210000</v>
      </c>
      <c r="C279" s="244" t="s">
        <v>1500</v>
      </c>
      <c r="D279" s="245">
        <v>0</v>
      </c>
      <c r="E279" s="245">
        <v>0</v>
      </c>
      <c r="F279" s="245">
        <v>29.88</v>
      </c>
      <c r="G279" s="245">
        <v>0</v>
      </c>
      <c r="H279" s="245">
        <v>1033.1500000000001</v>
      </c>
      <c r="I279" s="250">
        <v>-1033.1500000000001</v>
      </c>
      <c r="J279" s="244" t="s">
        <v>1160</v>
      </c>
      <c r="L279" s="223">
        <f>SUMIF('VC detail'!C:C,B279,'VC detail'!E:E)</f>
        <v>0</v>
      </c>
      <c r="M279" s="223">
        <f t="shared" si="6"/>
        <v>-1033.1500000000001</v>
      </c>
      <c r="N279" s="223"/>
      <c r="O279" s="280">
        <f t="shared" si="7"/>
        <v>-1033.1500000000001</v>
      </c>
      <c r="P279" s="215" t="e">
        <f>VLOOKUP(B279,#REF!,6,0)</f>
        <v>#REF!</v>
      </c>
    </row>
    <row r="280" spans="1:16">
      <c r="A280" s="221" t="str">
        <f t="shared" si="8"/>
        <v>602</v>
      </c>
      <c r="B280" s="215">
        <v>6022230000</v>
      </c>
      <c r="C280" s="244" t="s">
        <v>1501</v>
      </c>
      <c r="D280" s="245">
        <v>0</v>
      </c>
      <c r="E280" s="245">
        <v>0</v>
      </c>
      <c r="F280" s="245">
        <v>480.2</v>
      </c>
      <c r="G280" s="245">
        <v>0</v>
      </c>
      <c r="H280" s="245">
        <v>2205</v>
      </c>
      <c r="I280" s="250">
        <v>-2205</v>
      </c>
      <c r="J280" s="244" t="s">
        <v>1161</v>
      </c>
      <c r="L280" s="223">
        <f>SUMIF('VC detail'!C:C,B280,'VC detail'!E:E)</f>
        <v>0</v>
      </c>
      <c r="M280" s="223">
        <f t="shared" si="6"/>
        <v>-2205</v>
      </c>
      <c r="N280" s="223"/>
      <c r="O280" s="280">
        <f t="shared" si="7"/>
        <v>-2205</v>
      </c>
      <c r="P280" s="215" t="e">
        <f>VLOOKUP(B280,#REF!,6,0)</f>
        <v>#REF!</v>
      </c>
    </row>
    <row r="281" spans="1:16">
      <c r="A281" s="221" t="str">
        <f t="shared" si="8"/>
        <v>602</v>
      </c>
      <c r="B281" s="215">
        <v>6022250000</v>
      </c>
      <c r="C281" s="244" t="s">
        <v>1502</v>
      </c>
      <c r="D281" s="245">
        <v>0</v>
      </c>
      <c r="E281" s="245">
        <v>0</v>
      </c>
      <c r="F281" s="245">
        <v>581.83000000000004</v>
      </c>
      <c r="G281" s="245">
        <v>0</v>
      </c>
      <c r="H281" s="245">
        <v>7706.28</v>
      </c>
      <c r="I281" s="250">
        <v>-7706.28</v>
      </c>
      <c r="J281" s="244" t="s">
        <v>1162</v>
      </c>
      <c r="L281" s="223">
        <f>SUMIF('VC detail'!C:C,B281,'VC detail'!E:E)</f>
        <v>-7706.28</v>
      </c>
      <c r="M281" s="223">
        <f t="shared" si="6"/>
        <v>0</v>
      </c>
      <c r="N281" s="223"/>
      <c r="O281" s="280">
        <f t="shared" si="7"/>
        <v>0</v>
      </c>
      <c r="P281" s="215" t="e">
        <f>VLOOKUP(B281,#REF!,6,0)</f>
        <v>#REF!</v>
      </c>
    </row>
    <row r="282" spans="1:16">
      <c r="A282" s="221" t="str">
        <f t="shared" si="8"/>
        <v>602</v>
      </c>
      <c r="B282" s="215">
        <v>6022260000</v>
      </c>
      <c r="C282" s="244" t="s">
        <v>1503</v>
      </c>
      <c r="D282" s="245">
        <v>0</v>
      </c>
      <c r="E282" s="245">
        <v>0</v>
      </c>
      <c r="F282" s="245">
        <v>104</v>
      </c>
      <c r="G282" s="245">
        <v>0</v>
      </c>
      <c r="H282" s="245">
        <v>364</v>
      </c>
      <c r="I282" s="250">
        <v>-364</v>
      </c>
      <c r="J282" s="244" t="s">
        <v>1163</v>
      </c>
      <c r="L282" s="223">
        <f>SUMIF('VC detail'!C:C,B282,'VC detail'!E:E)</f>
        <v>-364</v>
      </c>
      <c r="M282" s="223">
        <f t="shared" si="6"/>
        <v>0</v>
      </c>
      <c r="N282" s="223"/>
      <c r="O282" s="280">
        <f t="shared" si="7"/>
        <v>0</v>
      </c>
      <c r="P282" s="215" t="e">
        <f>VLOOKUP(B282,#REF!,6,0)</f>
        <v>#REF!</v>
      </c>
    </row>
    <row r="283" spans="1:16">
      <c r="A283" s="221" t="str">
        <f t="shared" si="8"/>
        <v>602</v>
      </c>
      <c r="B283" s="215">
        <v>6022270000</v>
      </c>
      <c r="C283" s="244" t="s">
        <v>1504</v>
      </c>
      <c r="D283" s="245">
        <v>0</v>
      </c>
      <c r="E283" s="245">
        <v>0</v>
      </c>
      <c r="F283" s="245">
        <v>170</v>
      </c>
      <c r="G283" s="245">
        <v>0</v>
      </c>
      <c r="H283" s="245">
        <v>3049.3</v>
      </c>
      <c r="I283" s="250">
        <v>-3049.3</v>
      </c>
      <c r="J283" s="244" t="s">
        <v>1164</v>
      </c>
      <c r="L283" s="223">
        <f>SUMIF('VC detail'!C:C,B283,'VC detail'!E:E)</f>
        <v>0</v>
      </c>
      <c r="M283" s="223">
        <f t="shared" si="6"/>
        <v>-3049.3</v>
      </c>
      <c r="N283" s="223"/>
      <c r="O283" s="280">
        <f t="shared" si="7"/>
        <v>-3049.3</v>
      </c>
      <c r="P283" s="215" t="e">
        <f>VLOOKUP(B283,#REF!,6,0)</f>
        <v>#REF!</v>
      </c>
    </row>
    <row r="284" spans="1:16">
      <c r="A284" s="221" t="str">
        <f t="shared" si="8"/>
        <v>602</v>
      </c>
      <c r="B284" s="215">
        <v>6022280000</v>
      </c>
      <c r="C284" s="244" t="s">
        <v>1505</v>
      </c>
      <c r="D284" s="245">
        <v>0</v>
      </c>
      <c r="E284" s="245">
        <v>0</v>
      </c>
      <c r="F284" s="245">
        <v>225.33</v>
      </c>
      <c r="G284" s="245">
        <v>0</v>
      </c>
      <c r="H284" s="245">
        <v>1375.5</v>
      </c>
      <c r="I284" s="250">
        <v>-1375.5</v>
      </c>
      <c r="J284" s="244" t="s">
        <v>1165</v>
      </c>
      <c r="L284" s="223">
        <f>SUMIF('VC detail'!C:C,B284,'VC detail'!E:E)</f>
        <v>-1375.5</v>
      </c>
      <c r="M284" s="223">
        <f t="shared" si="6"/>
        <v>0</v>
      </c>
      <c r="N284" s="223"/>
      <c r="O284" s="280">
        <f t="shared" si="7"/>
        <v>0</v>
      </c>
      <c r="P284" s="275" t="s">
        <v>1628</v>
      </c>
    </row>
    <row r="285" spans="1:16">
      <c r="A285" s="221" t="str">
        <f t="shared" si="8"/>
        <v>602</v>
      </c>
      <c r="B285" s="215">
        <v>6022290000</v>
      </c>
      <c r="C285" s="244" t="s">
        <v>1506</v>
      </c>
      <c r="D285" s="245">
        <v>0</v>
      </c>
      <c r="E285" s="245">
        <v>0</v>
      </c>
      <c r="F285" s="245">
        <v>22.85</v>
      </c>
      <c r="G285" s="245">
        <v>0</v>
      </c>
      <c r="H285" s="245">
        <v>430.72</v>
      </c>
      <c r="I285" s="250">
        <v>-430.72</v>
      </c>
      <c r="J285" s="244" t="s">
        <v>1166</v>
      </c>
      <c r="L285" s="223">
        <f>SUMIF('VC detail'!C:C,B285,'VC detail'!E:E)</f>
        <v>0</v>
      </c>
      <c r="M285" s="223">
        <f t="shared" si="6"/>
        <v>-430.72</v>
      </c>
      <c r="N285" s="223"/>
      <c r="O285" s="280">
        <f t="shared" si="7"/>
        <v>-430.72</v>
      </c>
      <c r="P285" s="215" t="e">
        <f>VLOOKUP(B285,#REF!,6,0)</f>
        <v>#REF!</v>
      </c>
    </row>
    <row r="286" spans="1:16">
      <c r="A286" s="221" t="str">
        <f t="shared" si="8"/>
        <v>602</v>
      </c>
      <c r="B286" s="215">
        <v>6022300000</v>
      </c>
      <c r="C286" s="244" t="s">
        <v>1507</v>
      </c>
      <c r="D286" s="245">
        <v>0</v>
      </c>
      <c r="E286" s="245">
        <v>0</v>
      </c>
      <c r="F286" s="245">
        <v>875.91</v>
      </c>
      <c r="G286" s="245">
        <v>0</v>
      </c>
      <c r="H286" s="245">
        <v>1597.73</v>
      </c>
      <c r="I286" s="250">
        <v>-1597.73</v>
      </c>
      <c r="J286" s="244" t="s">
        <v>1167</v>
      </c>
      <c r="L286" s="223">
        <f>SUMIF('VC detail'!C:C,B286,'VC detail'!E:E)</f>
        <v>0</v>
      </c>
      <c r="M286" s="223">
        <f t="shared" si="6"/>
        <v>-1597.73</v>
      </c>
      <c r="N286" s="223"/>
      <c r="O286" s="280">
        <f t="shared" si="7"/>
        <v>-1597.73</v>
      </c>
      <c r="P286" s="275" t="s">
        <v>1628</v>
      </c>
    </row>
    <row r="287" spans="1:16">
      <c r="A287" s="221" t="str">
        <f t="shared" si="8"/>
        <v>602</v>
      </c>
      <c r="B287" s="215">
        <v>6022310000</v>
      </c>
      <c r="C287" s="244" t="s">
        <v>1508</v>
      </c>
      <c r="D287" s="245">
        <v>0</v>
      </c>
      <c r="E287" s="245">
        <v>0</v>
      </c>
      <c r="F287" s="245">
        <v>0</v>
      </c>
      <c r="G287" s="245">
        <v>0</v>
      </c>
      <c r="H287" s="245">
        <v>28.16</v>
      </c>
      <c r="I287" s="250">
        <v>-28.16</v>
      </c>
      <c r="J287" s="244" t="s">
        <v>1168</v>
      </c>
      <c r="L287" s="223">
        <f>SUMIF('VC detail'!C:C,B287,'VC detail'!E:E)</f>
        <v>0</v>
      </c>
      <c r="M287" s="223">
        <f t="shared" si="6"/>
        <v>-28.16</v>
      </c>
      <c r="N287" s="223"/>
      <c r="O287" s="280">
        <f t="shared" si="7"/>
        <v>-28.16</v>
      </c>
      <c r="P287" s="275" t="s">
        <v>1628</v>
      </c>
    </row>
    <row r="288" spans="1:16">
      <c r="A288" s="221" t="str">
        <f t="shared" si="8"/>
        <v>602</v>
      </c>
      <c r="B288" s="215">
        <v>6023010000</v>
      </c>
      <c r="C288" s="244" t="s">
        <v>1509</v>
      </c>
      <c r="D288" s="245">
        <v>0</v>
      </c>
      <c r="E288" s="245">
        <v>0</v>
      </c>
      <c r="F288" s="245">
        <v>323912.11</v>
      </c>
      <c r="G288" s="245">
        <v>0</v>
      </c>
      <c r="H288" s="245">
        <v>3114153.84</v>
      </c>
      <c r="I288" s="250">
        <v>-3114153.84</v>
      </c>
      <c r="J288" s="244" t="s">
        <v>1169</v>
      </c>
      <c r="L288" s="223">
        <f>SUMIF('VC detail'!C:C,B288,'VC detail'!E:E)</f>
        <v>0</v>
      </c>
      <c r="M288" s="223">
        <f t="shared" si="6"/>
        <v>-3114153.84</v>
      </c>
      <c r="N288" s="223"/>
      <c r="O288" s="280">
        <f t="shared" si="7"/>
        <v>-3114153.84</v>
      </c>
      <c r="P288" s="215" t="e">
        <f>VLOOKUP(B288,#REF!,6,0)</f>
        <v>#REF!</v>
      </c>
    </row>
    <row r="289" spans="1:16">
      <c r="A289" s="221" t="str">
        <f t="shared" si="8"/>
        <v>602</v>
      </c>
      <c r="B289" s="215">
        <v>6023030000</v>
      </c>
      <c r="C289" s="244" t="s">
        <v>1510</v>
      </c>
      <c r="D289" s="245">
        <v>0</v>
      </c>
      <c r="E289" s="245">
        <v>0</v>
      </c>
      <c r="F289" s="245">
        <v>123645.56</v>
      </c>
      <c r="G289" s="245">
        <v>0</v>
      </c>
      <c r="H289" s="245">
        <v>1536886.02</v>
      </c>
      <c r="I289" s="250">
        <v>-1536886.02</v>
      </c>
      <c r="J289" s="244" t="s">
        <v>1170</v>
      </c>
      <c r="L289" s="223">
        <f>SUMIF('VC detail'!C:C,B289,'VC detail'!E:E)</f>
        <v>0</v>
      </c>
      <c r="M289" s="223">
        <f t="shared" ref="M289:M316" si="9">+I289-L289</f>
        <v>-1536886.02</v>
      </c>
      <c r="N289" s="223"/>
      <c r="O289" s="280">
        <f t="shared" ref="O289:O316" si="10">+M289+N289</f>
        <v>-1536886.02</v>
      </c>
      <c r="P289" s="215" t="e">
        <f>VLOOKUP(B289,#REF!,6,0)</f>
        <v>#REF!</v>
      </c>
    </row>
    <row r="290" spans="1:16">
      <c r="A290" s="221" t="str">
        <f t="shared" si="8"/>
        <v>602</v>
      </c>
      <c r="B290" s="215">
        <v>6023040000</v>
      </c>
      <c r="C290" s="244" t="s">
        <v>1511</v>
      </c>
      <c r="D290" s="245">
        <v>0</v>
      </c>
      <c r="E290" s="245">
        <v>0</v>
      </c>
      <c r="F290" s="245">
        <v>4781.63</v>
      </c>
      <c r="G290" s="245">
        <v>0</v>
      </c>
      <c r="H290" s="245">
        <v>221711.87</v>
      </c>
      <c r="I290" s="250">
        <v>-221711.87</v>
      </c>
      <c r="J290" s="244" t="s">
        <v>1171</v>
      </c>
      <c r="L290" s="223">
        <f>SUMIF('VC detail'!C:C,B290,'VC detail'!E:E)</f>
        <v>0</v>
      </c>
      <c r="M290" s="223">
        <f t="shared" si="9"/>
        <v>-221711.87</v>
      </c>
      <c r="N290" s="223"/>
      <c r="O290" s="280">
        <f t="shared" si="10"/>
        <v>-221711.87</v>
      </c>
      <c r="P290" s="215" t="e">
        <f>VLOOKUP(B290,#REF!,6,0)</f>
        <v>#REF!</v>
      </c>
    </row>
    <row r="291" spans="1:16">
      <c r="A291" s="221" t="str">
        <f t="shared" ref="A291:A324" si="11">LEFT(B291,3)</f>
        <v>602</v>
      </c>
      <c r="B291" s="215">
        <v>6023060000</v>
      </c>
      <c r="C291" s="244" t="s">
        <v>1512</v>
      </c>
      <c r="D291" s="245">
        <v>0</v>
      </c>
      <c r="E291" s="245">
        <v>0</v>
      </c>
      <c r="F291" s="245">
        <v>9038.58</v>
      </c>
      <c r="G291" s="245">
        <v>0</v>
      </c>
      <c r="H291" s="245">
        <v>127200.5</v>
      </c>
      <c r="I291" s="250">
        <v>-127200.5</v>
      </c>
      <c r="J291" s="244" t="s">
        <v>1172</v>
      </c>
      <c r="L291" s="223">
        <f>SUMIF('VC detail'!C:C,B291,'VC detail'!E:E)</f>
        <v>0</v>
      </c>
      <c r="M291" s="223">
        <f t="shared" si="9"/>
        <v>-127200.5</v>
      </c>
      <c r="N291" s="223"/>
      <c r="O291" s="280">
        <f t="shared" si="10"/>
        <v>-127200.5</v>
      </c>
      <c r="P291" s="215" t="e">
        <f>VLOOKUP(B291,#REF!,6,0)</f>
        <v>#REF!</v>
      </c>
    </row>
    <row r="292" spans="1:16">
      <c r="A292" s="221" t="str">
        <f t="shared" si="11"/>
        <v>602</v>
      </c>
      <c r="B292" s="215">
        <v>6023070000</v>
      </c>
      <c r="C292" s="244" t="s">
        <v>1513</v>
      </c>
      <c r="D292" s="245">
        <v>0</v>
      </c>
      <c r="E292" s="245">
        <v>0</v>
      </c>
      <c r="F292" s="245">
        <v>-2226.44</v>
      </c>
      <c r="G292" s="245">
        <v>0</v>
      </c>
      <c r="H292" s="245">
        <v>46943.65</v>
      </c>
      <c r="I292" s="250">
        <v>-46943.65</v>
      </c>
      <c r="J292" s="244" t="s">
        <v>1173</v>
      </c>
      <c r="L292" s="223">
        <f>SUMIF('VC detail'!C:C,B292,'VC detail'!E:E)</f>
        <v>-46916.83</v>
      </c>
      <c r="M292" s="223">
        <f t="shared" si="9"/>
        <v>-26.819999999999709</v>
      </c>
      <c r="N292" s="223"/>
      <c r="O292" s="280">
        <f t="shared" si="10"/>
        <v>-26.819999999999709</v>
      </c>
      <c r="P292" s="275" t="s">
        <v>1632</v>
      </c>
    </row>
    <row r="293" spans="1:16">
      <c r="A293" s="221" t="str">
        <f t="shared" si="11"/>
        <v>602</v>
      </c>
      <c r="B293" s="215">
        <v>6023080000</v>
      </c>
      <c r="C293" s="244" t="s">
        <v>1514</v>
      </c>
      <c r="D293" s="245">
        <v>0</v>
      </c>
      <c r="E293" s="245">
        <v>0</v>
      </c>
      <c r="F293" s="245">
        <v>21678.58</v>
      </c>
      <c r="G293" s="245">
        <v>0</v>
      </c>
      <c r="H293" s="245">
        <v>231106.03</v>
      </c>
      <c r="I293" s="250">
        <v>-231106.03</v>
      </c>
      <c r="J293" s="244" t="s">
        <v>1174</v>
      </c>
      <c r="L293" s="223">
        <f>SUMIF('VC detail'!C:C,B293,'VC detail'!E:E)</f>
        <v>0</v>
      </c>
      <c r="M293" s="223">
        <f t="shared" si="9"/>
        <v>-231106.03</v>
      </c>
      <c r="N293" s="223"/>
      <c r="O293" s="280">
        <f t="shared" si="10"/>
        <v>-231106.03</v>
      </c>
      <c r="P293" s="215" t="e">
        <f>VLOOKUP(B293,#REF!,6,0)</f>
        <v>#REF!</v>
      </c>
    </row>
    <row r="294" spans="1:16">
      <c r="A294" s="221" t="str">
        <f t="shared" si="11"/>
        <v>602</v>
      </c>
      <c r="B294" s="215">
        <v>6023090000</v>
      </c>
      <c r="C294" s="244" t="s">
        <v>1515</v>
      </c>
      <c r="D294" s="245">
        <v>0</v>
      </c>
      <c r="E294" s="245">
        <v>0</v>
      </c>
      <c r="F294" s="245">
        <v>786.05</v>
      </c>
      <c r="G294" s="245">
        <v>0</v>
      </c>
      <c r="H294" s="245">
        <v>27148.5</v>
      </c>
      <c r="I294" s="250">
        <v>-27148.5</v>
      </c>
      <c r="J294" s="244" t="s">
        <v>1175</v>
      </c>
      <c r="L294" s="223">
        <f>SUMIF('VC detail'!C:C,B294,'VC detail'!E:E)</f>
        <v>0</v>
      </c>
      <c r="M294" s="223">
        <f t="shared" si="9"/>
        <v>-27148.5</v>
      </c>
      <c r="N294" s="223"/>
      <c r="O294" s="280">
        <f t="shared" si="10"/>
        <v>-27148.5</v>
      </c>
      <c r="P294" s="215" t="e">
        <f>VLOOKUP(B294,#REF!,6,0)</f>
        <v>#REF!</v>
      </c>
    </row>
    <row r="295" spans="1:16">
      <c r="A295" s="221" t="str">
        <f t="shared" si="11"/>
        <v>602</v>
      </c>
      <c r="B295" s="215">
        <v>6023100000</v>
      </c>
      <c r="C295" s="244" t="s">
        <v>1516</v>
      </c>
      <c r="D295" s="245">
        <v>0</v>
      </c>
      <c r="E295" s="245">
        <v>0</v>
      </c>
      <c r="F295" s="245">
        <v>12580</v>
      </c>
      <c r="G295" s="245">
        <v>0</v>
      </c>
      <c r="H295" s="245">
        <v>22162.49</v>
      </c>
      <c r="I295" s="250">
        <v>-22162.49</v>
      </c>
      <c r="J295" s="244" t="s">
        <v>1176</v>
      </c>
      <c r="L295" s="223">
        <f>SUMIF('VC detail'!C:C,B295,'VC detail'!E:E)</f>
        <v>0</v>
      </c>
      <c r="M295" s="223">
        <f t="shared" si="9"/>
        <v>-22162.49</v>
      </c>
      <c r="N295" s="223"/>
      <c r="O295" s="280">
        <f t="shared" si="10"/>
        <v>-22162.49</v>
      </c>
      <c r="P295" s="215" t="e">
        <f>VLOOKUP(B295,#REF!,6,0)</f>
        <v>#REF!</v>
      </c>
    </row>
    <row r="296" spans="1:16">
      <c r="A296" s="221" t="str">
        <f t="shared" si="11"/>
        <v>602</v>
      </c>
      <c r="B296" s="215">
        <v>6023110000</v>
      </c>
      <c r="C296" s="244" t="s">
        <v>1517</v>
      </c>
      <c r="D296" s="245">
        <v>0</v>
      </c>
      <c r="E296" s="245">
        <v>0</v>
      </c>
      <c r="F296" s="245">
        <v>12216.83</v>
      </c>
      <c r="G296" s="245">
        <v>0</v>
      </c>
      <c r="H296" s="245">
        <v>289376.67</v>
      </c>
      <c r="I296" s="250">
        <v>-289376.67</v>
      </c>
      <c r="J296" s="244" t="s">
        <v>1177</v>
      </c>
      <c r="L296" s="223">
        <f>SUMIF('VC detail'!C:C,B296,'VC detail'!E:E)</f>
        <v>0</v>
      </c>
      <c r="M296" s="223">
        <f t="shared" si="9"/>
        <v>-289376.67</v>
      </c>
      <c r="N296" s="223"/>
      <c r="O296" s="280">
        <f t="shared" si="10"/>
        <v>-289376.67</v>
      </c>
      <c r="P296" s="215" t="e">
        <f>VLOOKUP(B296,#REF!,6,0)</f>
        <v>#REF!</v>
      </c>
    </row>
    <row r="297" spans="1:16">
      <c r="A297" s="221" t="str">
        <f t="shared" si="11"/>
        <v>602</v>
      </c>
      <c r="B297" s="215">
        <v>6023120000</v>
      </c>
      <c r="C297" s="244" t="s">
        <v>1518</v>
      </c>
      <c r="D297" s="245">
        <v>0</v>
      </c>
      <c r="E297" s="245">
        <v>0</v>
      </c>
      <c r="F297" s="245">
        <v>0</v>
      </c>
      <c r="G297" s="245">
        <v>0</v>
      </c>
      <c r="H297" s="245">
        <v>107791.91</v>
      </c>
      <c r="I297" s="250">
        <v>-107791.91</v>
      </c>
      <c r="J297" s="244" t="s">
        <v>1178</v>
      </c>
      <c r="L297" s="223">
        <f>SUMIF('VC detail'!C:C,B297,'VC detail'!E:E)</f>
        <v>0</v>
      </c>
      <c r="M297" s="223">
        <f t="shared" si="9"/>
        <v>-107791.91</v>
      </c>
      <c r="N297" s="223"/>
      <c r="O297" s="280">
        <f t="shared" si="10"/>
        <v>-107791.91</v>
      </c>
      <c r="P297" s="215" t="e">
        <f>VLOOKUP(B297,#REF!,6,0)</f>
        <v>#REF!</v>
      </c>
    </row>
    <row r="298" spans="1:16">
      <c r="A298" s="221" t="str">
        <f t="shared" si="11"/>
        <v>602</v>
      </c>
      <c r="B298" s="215">
        <v>6023130000</v>
      </c>
      <c r="C298" s="244" t="s">
        <v>1519</v>
      </c>
      <c r="D298" s="245">
        <v>0</v>
      </c>
      <c r="E298" s="245">
        <v>0</v>
      </c>
      <c r="F298" s="245">
        <v>0</v>
      </c>
      <c r="G298" s="245">
        <v>0</v>
      </c>
      <c r="H298" s="245">
        <v>-16265.97</v>
      </c>
      <c r="I298" s="250">
        <v>16265.97</v>
      </c>
      <c r="J298" s="244" t="s">
        <v>1179</v>
      </c>
      <c r="L298" s="223">
        <f>SUMIF('VC detail'!C:C,B298,'VC detail'!E:E)</f>
        <v>0</v>
      </c>
      <c r="M298" s="223">
        <f t="shared" si="9"/>
        <v>16265.97</v>
      </c>
      <c r="N298" s="223"/>
      <c r="O298" s="280">
        <f t="shared" si="10"/>
        <v>16265.97</v>
      </c>
      <c r="P298" s="215" t="e">
        <f>VLOOKUP(B298,#REF!,6,0)</f>
        <v>#REF!</v>
      </c>
    </row>
    <row r="299" spans="1:16">
      <c r="A299" s="221" t="str">
        <f t="shared" si="11"/>
        <v>604</v>
      </c>
      <c r="B299" s="215">
        <v>6041000000</v>
      </c>
      <c r="C299" s="244" t="s">
        <v>1520</v>
      </c>
      <c r="D299" s="245">
        <v>0</v>
      </c>
      <c r="E299" s="245">
        <v>0</v>
      </c>
      <c r="F299" s="245">
        <v>0</v>
      </c>
      <c r="G299" s="245">
        <v>0</v>
      </c>
      <c r="H299" s="245">
        <v>78894.11</v>
      </c>
      <c r="I299" s="250">
        <v>-78894.11</v>
      </c>
      <c r="J299" s="244" t="s">
        <v>1180</v>
      </c>
      <c r="L299" s="223">
        <f>SUMIF('VC detail'!C:C,B299,'VC detail'!E:E)</f>
        <v>-78894.11</v>
      </c>
      <c r="M299" s="223">
        <f t="shared" si="9"/>
        <v>0</v>
      </c>
      <c r="N299" s="223"/>
      <c r="O299" s="280">
        <f t="shared" si="10"/>
        <v>0</v>
      </c>
      <c r="P299" s="215" t="e">
        <f>VLOOKUP(B299,#REF!,6,0)</f>
        <v>#REF!</v>
      </c>
    </row>
    <row r="300" spans="1:16">
      <c r="A300" s="221" t="str">
        <f t="shared" si="11"/>
        <v>622</v>
      </c>
      <c r="B300" s="215">
        <v>6221000000</v>
      </c>
      <c r="C300" s="244" t="s">
        <v>1521</v>
      </c>
      <c r="D300" s="245">
        <v>0</v>
      </c>
      <c r="E300" s="245">
        <v>0</v>
      </c>
      <c r="F300" s="245">
        <v>1526.04</v>
      </c>
      <c r="G300" s="245">
        <v>0</v>
      </c>
      <c r="H300" s="245">
        <v>21848.68</v>
      </c>
      <c r="I300" s="250">
        <v>-21848.68</v>
      </c>
      <c r="J300" s="244" t="s">
        <v>1181</v>
      </c>
      <c r="L300" s="223">
        <f>SUMIF('VC detail'!C:C,B300,'VC detail'!E:E)</f>
        <v>0</v>
      </c>
      <c r="M300" s="223">
        <f t="shared" si="9"/>
        <v>-21848.68</v>
      </c>
      <c r="N300" s="223"/>
      <c r="O300" s="280">
        <f t="shared" si="10"/>
        <v>-21848.68</v>
      </c>
      <c r="P300" s="215" t="e">
        <f>VLOOKUP(B300,#REF!,6,0)</f>
        <v>#REF!</v>
      </c>
    </row>
    <row r="301" spans="1:16">
      <c r="A301" s="221" t="str">
        <f t="shared" si="11"/>
        <v>644</v>
      </c>
      <c r="B301" s="215">
        <v>6441000000</v>
      </c>
      <c r="C301" s="244" t="s">
        <v>1522</v>
      </c>
      <c r="D301" s="245">
        <v>0</v>
      </c>
      <c r="E301" s="245">
        <v>0</v>
      </c>
      <c r="F301" s="245">
        <v>0</v>
      </c>
      <c r="G301" s="245">
        <v>0</v>
      </c>
      <c r="H301" s="245">
        <v>4.8099999999999996</v>
      </c>
      <c r="I301" s="250">
        <v>-4.8099999999999996</v>
      </c>
      <c r="J301" s="244" t="s">
        <v>1182</v>
      </c>
      <c r="K301" s="281" t="s">
        <v>1663</v>
      </c>
      <c r="L301" s="223">
        <f>SUMIF('VC detail'!C:C,B301,'VC detail'!E:E)</f>
        <v>-4.8099999999999996</v>
      </c>
      <c r="M301" s="223">
        <f t="shared" si="9"/>
        <v>0</v>
      </c>
      <c r="N301" s="223"/>
      <c r="O301" s="280">
        <f t="shared" si="10"/>
        <v>0</v>
      </c>
      <c r="P301" s="215" t="e">
        <f>VLOOKUP(B301,#REF!,6,0)</f>
        <v>#REF!</v>
      </c>
    </row>
    <row r="302" spans="1:16">
      <c r="A302" s="221" t="str">
        <f t="shared" si="11"/>
        <v>644</v>
      </c>
      <c r="B302" s="215">
        <v>6442000000</v>
      </c>
      <c r="C302" s="244" t="s">
        <v>1523</v>
      </c>
      <c r="D302" s="245">
        <v>0</v>
      </c>
      <c r="E302" s="245">
        <v>0</v>
      </c>
      <c r="F302" s="245">
        <v>0.03</v>
      </c>
      <c r="G302" s="245">
        <v>0</v>
      </c>
      <c r="H302" s="245">
        <v>-18.850000000000001</v>
      </c>
      <c r="I302" s="283">
        <v>18.850000000000001</v>
      </c>
      <c r="J302" s="244" t="s">
        <v>1183</v>
      </c>
      <c r="K302" s="281" t="s">
        <v>1663</v>
      </c>
      <c r="L302" s="223">
        <f>SUMIF('VC detail'!C:C,B302,'VC detail'!E:E)</f>
        <v>18.850000000000001</v>
      </c>
      <c r="M302" s="223">
        <f t="shared" si="9"/>
        <v>0</v>
      </c>
      <c r="N302" s="223"/>
      <c r="O302" s="280">
        <f t="shared" si="10"/>
        <v>0</v>
      </c>
      <c r="P302" s="215" t="e">
        <f>VLOOKUP(B302,#REF!,6,0)</f>
        <v>#REF!</v>
      </c>
    </row>
    <row r="303" spans="1:16">
      <c r="A303" s="221" t="str">
        <f t="shared" si="11"/>
        <v>644</v>
      </c>
      <c r="B303" s="215">
        <v>6443000000</v>
      </c>
      <c r="C303" s="244" t="s">
        <v>1524</v>
      </c>
      <c r="D303" s="245">
        <v>0</v>
      </c>
      <c r="E303" s="245">
        <v>0</v>
      </c>
      <c r="F303" s="245">
        <v>0</v>
      </c>
      <c r="G303" s="245">
        <v>0</v>
      </c>
      <c r="H303" s="245">
        <v>0.39</v>
      </c>
      <c r="I303" s="250">
        <v>-0.39</v>
      </c>
      <c r="J303" s="244" t="s">
        <v>1184</v>
      </c>
      <c r="K303" s="281" t="s">
        <v>1663</v>
      </c>
      <c r="L303" s="223">
        <f>SUMIF('VC detail'!C:C,B303,'VC detail'!E:E)</f>
        <v>-0.39</v>
      </c>
      <c r="M303" s="223">
        <f t="shared" si="9"/>
        <v>0</v>
      </c>
      <c r="N303" s="223"/>
      <c r="O303" s="280">
        <f t="shared" si="10"/>
        <v>0</v>
      </c>
      <c r="P303" s="215" t="e">
        <f>VLOOKUP(B303,#REF!,6,0)</f>
        <v>#REF!</v>
      </c>
    </row>
    <row r="304" spans="1:16">
      <c r="A304" s="221" t="str">
        <f t="shared" si="11"/>
        <v>644</v>
      </c>
      <c r="B304" s="215">
        <v>6444000000</v>
      </c>
      <c r="C304" s="244" t="s">
        <v>1525</v>
      </c>
      <c r="D304" s="245">
        <v>0</v>
      </c>
      <c r="E304" s="245">
        <v>0</v>
      </c>
      <c r="F304" s="245">
        <v>0</v>
      </c>
      <c r="G304" s="245">
        <v>0</v>
      </c>
      <c r="H304" s="245">
        <v>1.72</v>
      </c>
      <c r="I304" s="250">
        <v>-1.72</v>
      </c>
      <c r="J304" s="244" t="s">
        <v>1185</v>
      </c>
      <c r="K304" s="281" t="s">
        <v>1641</v>
      </c>
      <c r="L304" s="223">
        <f>SUMIF('VC detail'!C:C,B304,'VC detail'!E:E)</f>
        <v>0</v>
      </c>
      <c r="M304" s="223">
        <f t="shared" si="9"/>
        <v>-1.72</v>
      </c>
      <c r="N304" s="223"/>
      <c r="O304" s="280">
        <f t="shared" si="10"/>
        <v>-1.72</v>
      </c>
      <c r="P304" s="215" t="e">
        <f>VLOOKUP(B304,#REF!,6,0)</f>
        <v>#REF!</v>
      </c>
    </row>
    <row r="305" spans="1:16">
      <c r="A305" s="221" t="str">
        <f t="shared" si="11"/>
        <v>646</v>
      </c>
      <c r="B305" s="215">
        <v>6461000000</v>
      </c>
      <c r="C305" s="244" t="s">
        <v>1526</v>
      </c>
      <c r="D305" s="245">
        <v>0</v>
      </c>
      <c r="E305" s="245">
        <v>0</v>
      </c>
      <c r="F305" s="245">
        <v>389.24</v>
      </c>
      <c r="G305" s="245">
        <v>0</v>
      </c>
      <c r="H305" s="245">
        <v>570.91999999999996</v>
      </c>
      <c r="I305" s="250">
        <v>-570.91999999999996</v>
      </c>
      <c r="J305" s="244" t="s">
        <v>1186</v>
      </c>
      <c r="K305" s="282"/>
      <c r="L305" s="223">
        <f>SUMIF('VC detail'!C:C,B305,'VC detail'!E:E)</f>
        <v>0</v>
      </c>
      <c r="M305" s="223">
        <f t="shared" si="9"/>
        <v>-570.91999999999996</v>
      </c>
      <c r="N305" s="223"/>
      <c r="O305" s="280">
        <f t="shared" si="10"/>
        <v>-570.91999999999996</v>
      </c>
      <c r="P305" s="215" t="e">
        <f>VLOOKUP(B305,#REF!,6,0)</f>
        <v>#REF!</v>
      </c>
    </row>
    <row r="306" spans="1:16">
      <c r="A306" s="221" t="str">
        <f t="shared" si="11"/>
        <v>649</v>
      </c>
      <c r="B306" s="215">
        <v>6494000000</v>
      </c>
      <c r="C306" s="244" t="s">
        <v>1527</v>
      </c>
      <c r="D306" s="245">
        <v>0</v>
      </c>
      <c r="E306" s="245">
        <v>0</v>
      </c>
      <c r="F306" s="245">
        <v>0.05</v>
      </c>
      <c r="G306" s="245">
        <v>0</v>
      </c>
      <c r="H306" s="245">
        <v>4.18</v>
      </c>
      <c r="I306" s="250">
        <v>-4.18</v>
      </c>
      <c r="J306" s="244" t="s">
        <v>1187</v>
      </c>
      <c r="L306" s="223">
        <f>SUMIF('VC detail'!C:C,B306,'VC detail'!E:E)</f>
        <v>0</v>
      </c>
      <c r="M306" s="223">
        <f t="shared" si="9"/>
        <v>-4.18</v>
      </c>
      <c r="N306" s="223"/>
      <c r="O306" s="280">
        <f t="shared" si="10"/>
        <v>-4.18</v>
      </c>
      <c r="P306" s="215" t="e">
        <f>VLOOKUP(B306,#REF!,6,0)</f>
        <v>#REF!</v>
      </c>
    </row>
    <row r="307" spans="1:16">
      <c r="A307" s="221" t="str">
        <f t="shared" si="11"/>
        <v>649</v>
      </c>
      <c r="B307" s="215">
        <v>6495000000</v>
      </c>
      <c r="C307" s="244" t="s">
        <v>1528</v>
      </c>
      <c r="D307" s="245">
        <v>0</v>
      </c>
      <c r="E307" s="245">
        <v>0</v>
      </c>
      <c r="F307" s="245">
        <v>0</v>
      </c>
      <c r="G307" s="245">
        <v>0</v>
      </c>
      <c r="H307" s="245">
        <v>11990.9</v>
      </c>
      <c r="I307" s="250">
        <v>-11990.9</v>
      </c>
      <c r="J307" s="244" t="s">
        <v>1188</v>
      </c>
      <c r="L307" s="223">
        <f>SUMIF('VC detail'!C:C,B307,'VC detail'!E:E)</f>
        <v>0</v>
      </c>
      <c r="M307" s="223">
        <f t="shared" si="9"/>
        <v>-11990.9</v>
      </c>
      <c r="N307" s="223"/>
      <c r="O307" s="280">
        <f t="shared" si="10"/>
        <v>-11990.9</v>
      </c>
      <c r="P307" s="215" t="e">
        <f>VLOOKUP(B307,#REF!,6,0)</f>
        <v>#REF!</v>
      </c>
    </row>
    <row r="308" spans="1:16">
      <c r="A308" s="221" t="str">
        <f t="shared" si="11"/>
        <v>649</v>
      </c>
      <c r="B308" s="215">
        <v>6499000000</v>
      </c>
      <c r="C308" s="244" t="s">
        <v>1529</v>
      </c>
      <c r="D308" s="245">
        <v>0</v>
      </c>
      <c r="E308" s="245">
        <v>0</v>
      </c>
      <c r="F308" s="245">
        <v>0</v>
      </c>
      <c r="G308" s="245">
        <v>0</v>
      </c>
      <c r="H308" s="245">
        <v>8135.46</v>
      </c>
      <c r="I308" s="250">
        <v>-8135.46</v>
      </c>
      <c r="J308" s="244" t="s">
        <v>1189</v>
      </c>
      <c r="L308" s="223">
        <f>SUMIF('VC detail'!C:C,B308,'VC detail'!E:E)</f>
        <v>0</v>
      </c>
      <c r="M308" s="223">
        <f t="shared" si="9"/>
        <v>-8135.46</v>
      </c>
      <c r="N308" s="223"/>
      <c r="O308" s="280">
        <f t="shared" si="10"/>
        <v>-8135.46</v>
      </c>
      <c r="P308" s="215" t="e">
        <f>VLOOKUP(B308,#REF!,6,0)</f>
        <v>#REF!</v>
      </c>
    </row>
    <row r="309" spans="1:16">
      <c r="A309" s="221" t="str">
        <f t="shared" si="11"/>
        <v>656</v>
      </c>
      <c r="B309" s="215">
        <v>6561000000</v>
      </c>
      <c r="C309" s="244" t="s">
        <v>1530</v>
      </c>
      <c r="D309" s="245">
        <v>0</v>
      </c>
      <c r="E309" s="245">
        <v>0</v>
      </c>
      <c r="F309" s="245">
        <v>6690</v>
      </c>
      <c r="G309" s="245">
        <v>0</v>
      </c>
      <c r="H309" s="245">
        <v>12891</v>
      </c>
      <c r="I309" s="250">
        <v>-12891</v>
      </c>
      <c r="J309" s="244" t="s">
        <v>1190</v>
      </c>
      <c r="L309" s="223">
        <f>SUMIF('VC detail'!C:C,B309,'VC detail'!E:E)</f>
        <v>0</v>
      </c>
      <c r="M309" s="223">
        <f t="shared" si="9"/>
        <v>-12891</v>
      </c>
      <c r="N309" s="223"/>
      <c r="O309" s="280">
        <f t="shared" si="10"/>
        <v>-12891</v>
      </c>
      <c r="P309" s="215" t="e">
        <f>VLOOKUP(B309,#REF!,6,0)</f>
        <v>#REF!</v>
      </c>
    </row>
    <row r="310" spans="1:16">
      <c r="A310" s="221" t="str">
        <f t="shared" si="11"/>
        <v>659</v>
      </c>
      <c r="B310" s="215">
        <v>6591000000</v>
      </c>
      <c r="C310" s="244" t="s">
        <v>1531</v>
      </c>
      <c r="D310" s="245">
        <v>0</v>
      </c>
      <c r="E310" s="245">
        <v>0</v>
      </c>
      <c r="F310" s="245">
        <v>0</v>
      </c>
      <c r="G310" s="245">
        <v>0</v>
      </c>
      <c r="H310" s="245">
        <v>0</v>
      </c>
      <c r="I310" s="250">
        <v>0</v>
      </c>
      <c r="J310" s="244" t="s">
        <v>1216</v>
      </c>
      <c r="L310" s="223">
        <f>SUMIF('VC detail'!C:C,B310,'VC detail'!E:E)</f>
        <v>0</v>
      </c>
      <c r="M310" s="223">
        <f t="shared" si="9"/>
        <v>0</v>
      </c>
      <c r="N310" s="223"/>
      <c r="O310" s="280">
        <f t="shared" si="10"/>
        <v>0</v>
      </c>
      <c r="P310" s="215" t="e">
        <f>VLOOKUP(B310,#REF!,6,0)</f>
        <v>#REF!</v>
      </c>
    </row>
    <row r="311" spans="1:16">
      <c r="A311" s="221" t="str">
        <f t="shared" si="11"/>
        <v>662</v>
      </c>
      <c r="B311" s="215">
        <v>6621000000</v>
      </c>
      <c r="C311" s="244" t="s">
        <v>1532</v>
      </c>
      <c r="D311" s="245">
        <v>0</v>
      </c>
      <c r="E311" s="245">
        <v>0</v>
      </c>
      <c r="F311" s="245">
        <v>95.9</v>
      </c>
      <c r="G311" s="245">
        <v>0</v>
      </c>
      <c r="H311" s="245">
        <v>209.42</v>
      </c>
      <c r="I311" s="250">
        <v>-209.42</v>
      </c>
      <c r="J311" s="244" t="s">
        <v>1191</v>
      </c>
      <c r="L311" s="223">
        <f>SUMIF('VC detail'!C:C,B311,'VC detail'!E:E)</f>
        <v>0</v>
      </c>
      <c r="M311" s="223">
        <f t="shared" si="9"/>
        <v>-209.42</v>
      </c>
      <c r="N311" s="223"/>
      <c r="O311" s="280">
        <f t="shared" si="10"/>
        <v>-209.42</v>
      </c>
      <c r="P311" s="215" t="e">
        <f>VLOOKUP(B311,#REF!,6,0)</f>
        <v>#REF!</v>
      </c>
    </row>
    <row r="312" spans="1:16">
      <c r="A312" s="221" t="str">
        <f t="shared" si="11"/>
        <v>662</v>
      </c>
      <c r="B312" s="215">
        <v>6625000000</v>
      </c>
      <c r="C312" s="244" t="s">
        <v>1533</v>
      </c>
      <c r="D312" s="245">
        <v>0</v>
      </c>
      <c r="E312" s="245">
        <v>0</v>
      </c>
      <c r="F312" s="245">
        <v>0</v>
      </c>
      <c r="G312" s="245">
        <v>0</v>
      </c>
      <c r="H312" s="245">
        <v>0</v>
      </c>
      <c r="I312" s="250">
        <v>0</v>
      </c>
      <c r="J312" s="244" t="s">
        <v>1192</v>
      </c>
      <c r="L312" s="223">
        <f>SUMIF('VC detail'!C:C,B312,'VC detail'!E:E)</f>
        <v>0</v>
      </c>
      <c r="M312" s="223">
        <f t="shared" si="9"/>
        <v>0</v>
      </c>
      <c r="N312" s="223"/>
      <c r="O312" s="280">
        <f t="shared" si="10"/>
        <v>0</v>
      </c>
      <c r="P312" s="215" t="e">
        <f>VLOOKUP(B312,#REF!,6,0)</f>
        <v>#REF!</v>
      </c>
    </row>
    <row r="313" spans="1:16">
      <c r="A313" s="221" t="str">
        <f t="shared" si="11"/>
        <v>663</v>
      </c>
      <c r="B313" s="215">
        <v>6631000000</v>
      </c>
      <c r="C313" s="244" t="s">
        <v>1534</v>
      </c>
      <c r="D313" s="245">
        <v>0</v>
      </c>
      <c r="E313" s="245">
        <v>0</v>
      </c>
      <c r="F313" s="245">
        <v>0</v>
      </c>
      <c r="G313" s="245">
        <v>0</v>
      </c>
      <c r="H313" s="245">
        <v>0</v>
      </c>
      <c r="I313" s="250">
        <v>0</v>
      </c>
      <c r="J313" s="244" t="s">
        <v>1193</v>
      </c>
      <c r="L313" s="223">
        <f>SUMIF('VC detail'!C:C,B313,'VC detail'!E:E)</f>
        <v>0</v>
      </c>
      <c r="M313" s="223">
        <f t="shared" si="9"/>
        <v>0</v>
      </c>
      <c r="N313" s="223"/>
      <c r="O313" s="280">
        <f t="shared" si="10"/>
        <v>0</v>
      </c>
      <c r="P313" s="215" t="e">
        <f>VLOOKUP(B313,#REF!,6,0)</f>
        <v>#REF!</v>
      </c>
    </row>
    <row r="314" spans="1:16">
      <c r="A314" s="221" t="str">
        <f t="shared" si="11"/>
        <v>665</v>
      </c>
      <c r="B314" s="215">
        <v>6651000000</v>
      </c>
      <c r="C314" s="244" t="s">
        <v>1535</v>
      </c>
      <c r="D314" s="245">
        <v>0</v>
      </c>
      <c r="E314" s="245">
        <v>0</v>
      </c>
      <c r="F314" s="245">
        <v>0</v>
      </c>
      <c r="G314" s="245">
        <v>0</v>
      </c>
      <c r="H314" s="245">
        <v>1159.9000000000001</v>
      </c>
      <c r="I314" s="250">
        <v>-1159.9000000000001</v>
      </c>
      <c r="J314" s="244" t="s">
        <v>1194</v>
      </c>
      <c r="L314" s="223">
        <f>SUMIF('VC detail'!C:C,B314,'VC detail'!E:E)</f>
        <v>0</v>
      </c>
      <c r="M314" s="223">
        <f t="shared" si="9"/>
        <v>-1159.9000000000001</v>
      </c>
      <c r="N314" s="223"/>
      <c r="O314" s="280">
        <f t="shared" si="10"/>
        <v>-1159.9000000000001</v>
      </c>
      <c r="P314" s="215" t="e">
        <f>VLOOKUP(B314,#REF!,6,0)</f>
        <v>#REF!</v>
      </c>
    </row>
    <row r="315" spans="1:16">
      <c r="A315" s="221" t="str">
        <f t="shared" si="11"/>
        <v>665</v>
      </c>
      <c r="B315" s="215">
        <v>6652000000</v>
      </c>
      <c r="C315" s="244" t="s">
        <v>1536</v>
      </c>
      <c r="D315" s="245">
        <v>0</v>
      </c>
      <c r="E315" s="245">
        <v>0</v>
      </c>
      <c r="F315" s="245">
        <v>0</v>
      </c>
      <c r="G315" s="245">
        <v>0</v>
      </c>
      <c r="H315" s="245">
        <v>19.559999999999999</v>
      </c>
      <c r="I315" s="250">
        <v>-19.559999999999999</v>
      </c>
      <c r="J315" s="244" t="s">
        <v>1195</v>
      </c>
      <c r="L315" s="223">
        <f>SUMIF('VC detail'!C:C,B315,'VC detail'!E:E)</f>
        <v>0</v>
      </c>
      <c r="M315" s="223">
        <f t="shared" si="9"/>
        <v>-19.559999999999999</v>
      </c>
      <c r="N315" s="223"/>
      <c r="O315" s="280">
        <f t="shared" si="10"/>
        <v>-19.559999999999999</v>
      </c>
      <c r="P315" s="215" t="e">
        <f>VLOOKUP(B315,#REF!,6,0)</f>
        <v>#REF!</v>
      </c>
    </row>
    <row r="316" spans="1:16">
      <c r="A316" s="221" t="str">
        <f t="shared" si="11"/>
        <v>691</v>
      </c>
      <c r="B316" s="215">
        <v>6911000000</v>
      </c>
      <c r="C316" s="244" t="s">
        <v>1537</v>
      </c>
      <c r="D316" s="245">
        <v>0</v>
      </c>
      <c r="E316" s="245">
        <v>0</v>
      </c>
      <c r="F316" s="245">
        <v>1100.97</v>
      </c>
      <c r="G316" s="245">
        <v>0</v>
      </c>
      <c r="H316" s="245">
        <v>9267.67</v>
      </c>
      <c r="I316" s="250">
        <v>-9267.67</v>
      </c>
      <c r="J316" s="244" t="s">
        <v>1196</v>
      </c>
      <c r="L316" s="223">
        <f>SUMIF('VC detail'!C:C,B316,'VC detail'!E:E)</f>
        <v>0</v>
      </c>
      <c r="M316" s="223">
        <f t="shared" si="9"/>
        <v>-9267.67</v>
      </c>
      <c r="N316" s="223"/>
      <c r="O316" s="280">
        <f t="shared" si="10"/>
        <v>-9267.67</v>
      </c>
      <c r="P316" s="215" t="e">
        <f>VLOOKUP(B316,#REF!,6,0)</f>
        <v>#REF!</v>
      </c>
    </row>
    <row r="317" spans="1:16">
      <c r="A317" s="221" t="str">
        <f t="shared" si="11"/>
        <v>783</v>
      </c>
      <c r="B317" s="215">
        <v>7831000000</v>
      </c>
      <c r="C317" s="244" t="s">
        <v>1538</v>
      </c>
      <c r="D317" s="245">
        <v>-852.55</v>
      </c>
      <c r="E317" s="245">
        <v>0</v>
      </c>
      <c r="F317" s="245">
        <v>0</v>
      </c>
      <c r="G317" s="245">
        <v>0</v>
      </c>
      <c r="H317" s="245">
        <v>3344.91</v>
      </c>
      <c r="I317" s="245">
        <v>-4197.46</v>
      </c>
      <c r="J317" s="244" t="s">
        <v>1539</v>
      </c>
      <c r="L317" s="223"/>
    </row>
    <row r="318" spans="1:16">
      <c r="A318" s="221" t="str">
        <f t="shared" si="11"/>
        <v>784</v>
      </c>
      <c r="B318" s="215">
        <v>7841000000</v>
      </c>
      <c r="C318" s="244" t="s">
        <v>1540</v>
      </c>
      <c r="D318" s="245">
        <v>-13618.21</v>
      </c>
      <c r="E318" s="245">
        <v>0</v>
      </c>
      <c r="F318" s="245">
        <v>5377.87</v>
      </c>
      <c r="G318" s="245">
        <v>0</v>
      </c>
      <c r="H318" s="245">
        <v>102136.88</v>
      </c>
      <c r="I318" s="245">
        <v>-115755.09</v>
      </c>
      <c r="J318" s="244" t="s">
        <v>1541</v>
      </c>
      <c r="L318" s="223"/>
    </row>
    <row r="319" spans="1:16">
      <c r="A319" s="221" t="str">
        <f t="shared" si="11"/>
        <v>785</v>
      </c>
      <c r="B319" s="215">
        <v>7851000000</v>
      </c>
      <c r="C319" s="244" t="s">
        <v>1542</v>
      </c>
      <c r="D319" s="245">
        <v>-66026.399999999994</v>
      </c>
      <c r="E319" s="245">
        <v>0</v>
      </c>
      <c r="F319" s="245">
        <v>48301.13</v>
      </c>
      <c r="G319" s="245">
        <v>0</v>
      </c>
      <c r="H319" s="245">
        <v>194326.39999999999</v>
      </c>
      <c r="I319" s="245">
        <v>-260352.8</v>
      </c>
      <c r="J319" s="244" t="s">
        <v>1543</v>
      </c>
      <c r="L319" s="223"/>
    </row>
    <row r="320" spans="1:16">
      <c r="A320" s="221" t="str">
        <f t="shared" si="11"/>
        <v>786</v>
      </c>
      <c r="B320" s="215">
        <v>7861000000</v>
      </c>
      <c r="C320" s="244" t="s">
        <v>1544</v>
      </c>
      <c r="D320" s="245">
        <v>0</v>
      </c>
      <c r="E320" s="245">
        <v>0</v>
      </c>
      <c r="F320" s="245">
        <v>25974.74</v>
      </c>
      <c r="G320" s="245">
        <v>0</v>
      </c>
      <c r="H320" s="245">
        <v>25974.74</v>
      </c>
      <c r="I320" s="245">
        <v>-25974.74</v>
      </c>
      <c r="J320" s="244" t="s">
        <v>1545</v>
      </c>
      <c r="L320" s="223"/>
    </row>
    <row r="321" spans="1:12">
      <c r="A321" s="221" t="str">
        <f t="shared" si="11"/>
        <v>787</v>
      </c>
      <c r="B321" s="215">
        <v>7871000000</v>
      </c>
      <c r="C321" s="244" t="s">
        <v>1546</v>
      </c>
      <c r="D321" s="245">
        <v>-2690.19</v>
      </c>
      <c r="E321" s="245">
        <v>0</v>
      </c>
      <c r="F321" s="245">
        <v>0</v>
      </c>
      <c r="G321" s="245">
        <v>0</v>
      </c>
      <c r="H321" s="245">
        <v>1651.19</v>
      </c>
      <c r="I321" s="245">
        <v>-4341.38</v>
      </c>
      <c r="J321" s="244" t="s">
        <v>1547</v>
      </c>
      <c r="L321" s="223"/>
    </row>
    <row r="322" spans="1:12">
      <c r="A322" s="221" t="str">
        <f t="shared" si="11"/>
        <v>792</v>
      </c>
      <c r="B322" s="215">
        <v>7921000000</v>
      </c>
      <c r="C322" s="244" t="s">
        <v>1548</v>
      </c>
      <c r="D322" s="245">
        <v>47816.46</v>
      </c>
      <c r="E322" s="245">
        <v>2500.13</v>
      </c>
      <c r="F322" s="245">
        <v>0</v>
      </c>
      <c r="G322" s="245">
        <v>24150.97</v>
      </c>
      <c r="H322" s="245">
        <v>8850.9</v>
      </c>
      <c r="I322" s="245">
        <v>63116.53</v>
      </c>
      <c r="J322" s="244" t="s">
        <v>1549</v>
      </c>
      <c r="L322" s="223"/>
    </row>
    <row r="323" spans="1:12">
      <c r="A323" s="221" t="str">
        <f t="shared" si="11"/>
        <v>792</v>
      </c>
      <c r="B323" s="215">
        <v>7922000000</v>
      </c>
      <c r="C323" s="244" t="s">
        <v>1550</v>
      </c>
      <c r="D323" s="245">
        <v>3048.46</v>
      </c>
      <c r="E323" s="245">
        <v>0</v>
      </c>
      <c r="F323" s="245">
        <v>0</v>
      </c>
      <c r="G323" s="245">
        <v>711.67</v>
      </c>
      <c r="H323" s="245">
        <v>0</v>
      </c>
      <c r="I323" s="245">
        <v>3760.13</v>
      </c>
      <c r="J323" s="244" t="s">
        <v>1551</v>
      </c>
      <c r="L323" s="223"/>
    </row>
    <row r="324" spans="1:12">
      <c r="A324" s="221" t="str">
        <f t="shared" si="11"/>
        <v>799</v>
      </c>
      <c r="B324" s="215">
        <v>7999000000</v>
      </c>
      <c r="C324" s="244" t="s">
        <v>1552</v>
      </c>
      <c r="D324" s="245">
        <v>32322.43</v>
      </c>
      <c r="E324" s="245">
        <v>79653.740000000005</v>
      </c>
      <c r="F324" s="245">
        <v>2500.13</v>
      </c>
      <c r="G324" s="245">
        <v>336285.02</v>
      </c>
      <c r="H324" s="245">
        <v>24862.639999999999</v>
      </c>
      <c r="I324" s="245">
        <v>343744.81</v>
      </c>
      <c r="J324" s="244" t="s">
        <v>1553</v>
      </c>
      <c r="L324" s="223"/>
    </row>
  </sheetData>
  <autoFilter ref="A2:P324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"/>
  <sheetViews>
    <sheetView zoomScaleNormal="100" workbookViewId="0">
      <pane ySplit="1" topLeftCell="A104" activePane="bottomLeft" state="frozen"/>
      <selection pane="bottomLeft" activeCell="H127" sqref="H127:H128"/>
    </sheetView>
  </sheetViews>
  <sheetFormatPr defaultRowHeight="11.25"/>
  <cols>
    <col min="1" max="1" width="4.42578125" style="221" customWidth="1"/>
    <col min="2" max="2" width="9.5703125" style="215" bestFit="1" customWidth="1"/>
    <col min="3" max="3" width="13.28515625" style="215" bestFit="1" customWidth="1"/>
    <col min="4" max="5" width="9.42578125" style="215" bestFit="1" customWidth="1"/>
    <col min="6" max="7" width="10" style="215" bestFit="1" customWidth="1"/>
    <col min="8" max="8" width="11.42578125" style="215" bestFit="1" customWidth="1"/>
    <col min="9" max="9" width="32.85546875" style="215" bestFit="1" customWidth="1"/>
    <col min="10" max="10" width="10.5703125" style="215" bestFit="1" customWidth="1"/>
    <col min="11" max="16384" width="9.140625" style="215"/>
  </cols>
  <sheetData>
    <row r="1" spans="1:11" s="221" customFormat="1">
      <c r="A1" s="221" t="s">
        <v>1217</v>
      </c>
      <c r="B1" s="216" t="s">
        <v>1197</v>
      </c>
      <c r="C1" s="219" t="s">
        <v>1198</v>
      </c>
      <c r="D1" s="219" t="s">
        <v>1199</v>
      </c>
      <c r="E1" s="219" t="s">
        <v>1200</v>
      </c>
      <c r="F1" s="219" t="s">
        <v>1201</v>
      </c>
      <c r="G1" s="219" t="s">
        <v>1202</v>
      </c>
      <c r="H1" s="247">
        <v>41682</v>
      </c>
      <c r="I1" s="216" t="s">
        <v>1204</v>
      </c>
      <c r="J1" s="247">
        <v>41691</v>
      </c>
    </row>
    <row r="2" spans="1:11">
      <c r="A2" s="221" t="str">
        <f>LEFT(B2,2)</f>
        <v>13</v>
      </c>
      <c r="B2" s="218">
        <v>131000000</v>
      </c>
      <c r="C2" s="220">
        <v>98009.16</v>
      </c>
      <c r="D2" s="220">
        <v>0</v>
      </c>
      <c r="E2" s="220">
        <v>0</v>
      </c>
      <c r="F2" s="220">
        <v>2400</v>
      </c>
      <c r="G2" s="220">
        <v>0</v>
      </c>
      <c r="H2" s="222">
        <v>100409.16</v>
      </c>
      <c r="I2" s="217" t="s">
        <v>905</v>
      </c>
      <c r="J2" s="246">
        <f>VLOOKUP(B2,'HK 20.2.2014'!B:I,8,0)</f>
        <v>100409.16</v>
      </c>
      <c r="K2" s="224">
        <f t="shared" ref="K2:K65" si="0">J2-H2</f>
        <v>0</v>
      </c>
    </row>
    <row r="3" spans="1:11">
      <c r="A3" s="221" t="str">
        <f t="shared" ref="A3:A32" si="1">LEFT(B3,2)</f>
        <v>21</v>
      </c>
      <c r="B3" s="218">
        <v>211000000</v>
      </c>
      <c r="C3" s="220">
        <v>35703.94</v>
      </c>
      <c r="D3" s="220">
        <v>250270.86</v>
      </c>
      <c r="E3" s="220">
        <v>0</v>
      </c>
      <c r="F3" s="220">
        <v>358603.04</v>
      </c>
      <c r="G3" s="220">
        <v>0</v>
      </c>
      <c r="H3" s="222">
        <v>394306.98</v>
      </c>
      <c r="I3" s="217" t="s">
        <v>906</v>
      </c>
      <c r="J3" s="246">
        <f>VLOOKUP(B3,'HK 20.2.2014'!B:I,8,0)</f>
        <v>394306.98</v>
      </c>
      <c r="K3" s="224">
        <f t="shared" si="0"/>
        <v>0</v>
      </c>
    </row>
    <row r="4" spans="1:11">
      <c r="A4" s="221" t="str">
        <f t="shared" si="1"/>
        <v>21</v>
      </c>
      <c r="B4" s="218">
        <v>212000000</v>
      </c>
      <c r="C4" s="220">
        <v>3137.13</v>
      </c>
      <c r="D4" s="220">
        <v>0</v>
      </c>
      <c r="E4" s="220">
        <v>0</v>
      </c>
      <c r="F4" s="220">
        <v>0</v>
      </c>
      <c r="G4" s="220">
        <v>0</v>
      </c>
      <c r="H4" s="222">
        <v>3137.13</v>
      </c>
      <c r="I4" s="217" t="s">
        <v>907</v>
      </c>
      <c r="J4" s="246">
        <f>VLOOKUP(B4,'HK 20.2.2014'!B:I,8,0)</f>
        <v>3137.13</v>
      </c>
      <c r="K4" s="224">
        <f t="shared" si="0"/>
        <v>0</v>
      </c>
    </row>
    <row r="5" spans="1:11">
      <c r="A5" s="221" t="str">
        <f t="shared" si="1"/>
        <v>21</v>
      </c>
      <c r="B5" s="218">
        <v>213000000</v>
      </c>
      <c r="C5" s="220">
        <v>41535.699999999997</v>
      </c>
      <c r="D5" s="220">
        <v>21973.03</v>
      </c>
      <c r="E5" s="220">
        <v>0</v>
      </c>
      <c r="F5" s="220">
        <v>21973.03</v>
      </c>
      <c r="G5" s="220">
        <v>0</v>
      </c>
      <c r="H5" s="222">
        <v>63508.73</v>
      </c>
      <c r="I5" s="217" t="s">
        <v>908</v>
      </c>
      <c r="J5" s="246">
        <f>VLOOKUP(B5,'HK 20.2.2014'!B:I,8,0)</f>
        <v>63508.73</v>
      </c>
      <c r="K5" s="224">
        <f t="shared" si="0"/>
        <v>0</v>
      </c>
    </row>
    <row r="6" spans="1:11">
      <c r="A6" s="221" t="str">
        <f t="shared" si="1"/>
        <v>21</v>
      </c>
      <c r="B6" s="218">
        <v>214000000</v>
      </c>
      <c r="C6" s="220">
        <v>27714.15</v>
      </c>
      <c r="D6" s="220">
        <v>0</v>
      </c>
      <c r="E6" s="220">
        <v>0</v>
      </c>
      <c r="F6" s="220">
        <v>-8005.93</v>
      </c>
      <c r="G6" s="220">
        <v>0</v>
      </c>
      <c r="H6" s="222">
        <v>19708.22</v>
      </c>
      <c r="I6" s="217" t="s">
        <v>909</v>
      </c>
      <c r="J6" s="246">
        <f>VLOOKUP(B6,'HK 20.2.2014'!B:I,8,0)</f>
        <v>19708.22</v>
      </c>
      <c r="K6" s="224">
        <f t="shared" si="0"/>
        <v>0</v>
      </c>
    </row>
    <row r="7" spans="1:11">
      <c r="A7" s="221" t="str">
        <f t="shared" si="1"/>
        <v>21</v>
      </c>
      <c r="B7" s="218">
        <v>215000000</v>
      </c>
      <c r="C7" s="220">
        <v>0</v>
      </c>
      <c r="D7" s="220">
        <v>0</v>
      </c>
      <c r="E7" s="220">
        <v>0</v>
      </c>
      <c r="F7" s="220">
        <v>11861.48</v>
      </c>
      <c r="G7" s="220">
        <v>0</v>
      </c>
      <c r="H7" s="222">
        <v>11861.48</v>
      </c>
      <c r="I7" s="217" t="s">
        <v>910</v>
      </c>
      <c r="J7" s="246">
        <f>VLOOKUP(B7,'HK 20.2.2014'!B:I,8,0)</f>
        <v>11861.48</v>
      </c>
      <c r="K7" s="224">
        <f t="shared" si="0"/>
        <v>0</v>
      </c>
    </row>
    <row r="8" spans="1:11">
      <c r="A8" s="221" t="str">
        <f t="shared" si="1"/>
        <v>21</v>
      </c>
      <c r="B8" s="218">
        <v>216000000</v>
      </c>
      <c r="C8" s="220">
        <v>0</v>
      </c>
      <c r="D8" s="220">
        <v>0</v>
      </c>
      <c r="E8" s="220">
        <v>0</v>
      </c>
      <c r="F8" s="220">
        <v>13286.92</v>
      </c>
      <c r="G8" s="220">
        <v>0</v>
      </c>
      <c r="H8" s="222">
        <v>13286.92</v>
      </c>
      <c r="I8" s="217" t="s">
        <v>911</v>
      </c>
      <c r="J8" s="246">
        <f>VLOOKUP(B8,'HK 20.2.2014'!B:I,8,0)</f>
        <v>13286.92</v>
      </c>
      <c r="K8" s="224">
        <f t="shared" si="0"/>
        <v>0</v>
      </c>
    </row>
    <row r="9" spans="1:11">
      <c r="A9" s="221" t="str">
        <f t="shared" si="1"/>
        <v>21</v>
      </c>
      <c r="B9" s="218">
        <v>217000000</v>
      </c>
      <c r="C9" s="220">
        <v>0</v>
      </c>
      <c r="D9" s="220">
        <v>0</v>
      </c>
      <c r="E9" s="220">
        <v>0</v>
      </c>
      <c r="F9" s="220">
        <v>12625.12</v>
      </c>
      <c r="G9" s="220">
        <v>0</v>
      </c>
      <c r="H9" s="222">
        <v>12625.12</v>
      </c>
      <c r="I9" s="217" t="s">
        <v>912</v>
      </c>
      <c r="J9" s="246">
        <f>VLOOKUP(B9,'HK 20.2.2014'!B:I,8,0)</f>
        <v>12625.12</v>
      </c>
      <c r="K9" s="224">
        <f t="shared" si="0"/>
        <v>0</v>
      </c>
    </row>
    <row r="10" spans="1:11">
      <c r="A10" s="221" t="str">
        <f t="shared" si="1"/>
        <v>22</v>
      </c>
      <c r="B10" s="218">
        <v>221000000</v>
      </c>
      <c r="C10" s="220">
        <v>59172.53</v>
      </c>
      <c r="D10" s="220">
        <v>104351.21</v>
      </c>
      <c r="E10" s="220">
        <v>0</v>
      </c>
      <c r="F10" s="220">
        <v>106208.49</v>
      </c>
      <c r="G10" s="220">
        <v>0</v>
      </c>
      <c r="H10" s="222">
        <v>165381.01999999999</v>
      </c>
      <c r="I10" s="217" t="s">
        <v>913</v>
      </c>
      <c r="J10" s="246">
        <f>VLOOKUP(B10,'HK 20.2.2014'!B:I,8,0)</f>
        <v>165381.01999999999</v>
      </c>
      <c r="K10" s="224">
        <f t="shared" si="0"/>
        <v>0</v>
      </c>
    </row>
    <row r="11" spans="1:11">
      <c r="A11" s="221" t="str">
        <f t="shared" si="1"/>
        <v>22</v>
      </c>
      <c r="B11" s="218">
        <v>222000000</v>
      </c>
      <c r="C11" s="220">
        <v>3713.07</v>
      </c>
      <c r="D11" s="220">
        <v>0</v>
      </c>
      <c r="E11" s="220">
        <v>0</v>
      </c>
      <c r="F11" s="220">
        <v>0</v>
      </c>
      <c r="G11" s="220">
        <v>0</v>
      </c>
      <c r="H11" s="222">
        <v>3713.07</v>
      </c>
      <c r="I11" s="217" t="s">
        <v>914</v>
      </c>
      <c r="J11" s="246">
        <f>VLOOKUP(B11,'HK 20.2.2014'!B:I,8,0)</f>
        <v>3713.07</v>
      </c>
      <c r="K11" s="224">
        <f t="shared" si="0"/>
        <v>0</v>
      </c>
    </row>
    <row r="12" spans="1:11">
      <c r="A12" s="221" t="str">
        <f t="shared" si="1"/>
        <v>22</v>
      </c>
      <c r="B12" s="218">
        <v>223000000</v>
      </c>
      <c r="C12" s="220">
        <v>77250.600000000006</v>
      </c>
      <c r="D12" s="220">
        <v>0</v>
      </c>
      <c r="E12" s="220">
        <v>0</v>
      </c>
      <c r="F12" s="220">
        <v>4350.8900000000003</v>
      </c>
      <c r="G12" s="220">
        <v>0</v>
      </c>
      <c r="H12" s="222">
        <v>81601.490000000005</v>
      </c>
      <c r="I12" s="217" t="s">
        <v>915</v>
      </c>
      <c r="J12" s="246">
        <f>VLOOKUP(B12,'HK 20.2.2014'!B:I,8,0)</f>
        <v>81601.490000000005</v>
      </c>
      <c r="K12" s="224">
        <f t="shared" si="0"/>
        <v>0</v>
      </c>
    </row>
    <row r="13" spans="1:11">
      <c r="A13" s="221" t="str">
        <f t="shared" si="1"/>
        <v>22</v>
      </c>
      <c r="B13" s="218">
        <v>224000000</v>
      </c>
      <c r="C13" s="220">
        <v>1036555.6</v>
      </c>
      <c r="D13" s="220">
        <v>3200</v>
      </c>
      <c r="E13" s="220">
        <v>0</v>
      </c>
      <c r="F13" s="220">
        <v>3200</v>
      </c>
      <c r="G13" s="220">
        <v>0</v>
      </c>
      <c r="H13" s="222">
        <v>1039755.6</v>
      </c>
      <c r="I13" s="217" t="s">
        <v>916</v>
      </c>
      <c r="J13" s="246">
        <f>VLOOKUP(B13,'HK 20.2.2014'!B:I,8,0)</f>
        <v>1039755.6</v>
      </c>
      <c r="K13" s="224">
        <f t="shared" si="0"/>
        <v>0</v>
      </c>
    </row>
    <row r="14" spans="1:11">
      <c r="A14" s="221" t="str">
        <f t="shared" si="1"/>
        <v>22</v>
      </c>
      <c r="B14" s="218">
        <v>225000000</v>
      </c>
      <c r="C14" s="220">
        <v>0</v>
      </c>
      <c r="D14" s="220">
        <v>0</v>
      </c>
      <c r="E14" s="220">
        <v>0</v>
      </c>
      <c r="F14" s="220">
        <v>5920</v>
      </c>
      <c r="G14" s="220">
        <v>0</v>
      </c>
      <c r="H14" s="222">
        <v>5920</v>
      </c>
      <c r="I14" s="217" t="s">
        <v>917</v>
      </c>
      <c r="J14" s="246">
        <f>VLOOKUP(B14,'HK 20.2.2014'!B:I,8,0)</f>
        <v>5920</v>
      </c>
      <c r="K14" s="224">
        <f t="shared" si="0"/>
        <v>0</v>
      </c>
    </row>
    <row r="15" spans="1:11">
      <c r="A15" s="221" t="str">
        <f t="shared" si="1"/>
        <v>22</v>
      </c>
      <c r="B15" s="218">
        <v>226000000</v>
      </c>
      <c r="C15" s="220">
        <v>0</v>
      </c>
      <c r="D15" s="220">
        <v>0</v>
      </c>
      <c r="E15" s="220">
        <v>0</v>
      </c>
      <c r="F15" s="220">
        <v>320</v>
      </c>
      <c r="G15" s="220">
        <v>0</v>
      </c>
      <c r="H15" s="222">
        <v>320</v>
      </c>
      <c r="I15" s="217" t="s">
        <v>918</v>
      </c>
      <c r="J15" s="246">
        <f>VLOOKUP(B15,'HK 20.2.2014'!B:I,8,0)</f>
        <v>320</v>
      </c>
      <c r="K15" s="224">
        <f t="shared" si="0"/>
        <v>0</v>
      </c>
    </row>
    <row r="16" spans="1:11">
      <c r="A16" s="221" t="str">
        <f t="shared" si="1"/>
        <v>23</v>
      </c>
      <c r="B16" s="218">
        <v>231000000</v>
      </c>
      <c r="C16" s="220">
        <v>157933.35</v>
      </c>
      <c r="D16" s="220">
        <v>0</v>
      </c>
      <c r="E16" s="220">
        <v>0</v>
      </c>
      <c r="F16" s="220">
        <v>0</v>
      </c>
      <c r="G16" s="220">
        <v>0</v>
      </c>
      <c r="H16" s="222">
        <v>157933.35</v>
      </c>
      <c r="I16" s="217" t="s">
        <v>487</v>
      </c>
      <c r="J16" s="246">
        <f>VLOOKUP(B16,'HK 20.2.2014'!B:I,8,0)</f>
        <v>157933.35</v>
      </c>
      <c r="K16" s="224">
        <f t="shared" si="0"/>
        <v>0</v>
      </c>
    </row>
    <row r="17" spans="1:11">
      <c r="A17" s="221" t="str">
        <f t="shared" si="1"/>
        <v>29</v>
      </c>
      <c r="B17" s="218">
        <v>291000000</v>
      </c>
      <c r="C17" s="220">
        <v>115030.28</v>
      </c>
      <c r="D17" s="220">
        <v>0</v>
      </c>
      <c r="E17" s="220">
        <v>0</v>
      </c>
      <c r="F17" s="220">
        <v>0</v>
      </c>
      <c r="G17" s="220">
        <v>0</v>
      </c>
      <c r="H17" s="222">
        <v>115030.28</v>
      </c>
      <c r="I17" s="217" t="s">
        <v>919</v>
      </c>
      <c r="J17" s="246">
        <f>VLOOKUP(B17,'HK 20.2.2014'!B:I,8,0)</f>
        <v>115030.28</v>
      </c>
      <c r="K17" s="224">
        <f t="shared" si="0"/>
        <v>0</v>
      </c>
    </row>
    <row r="18" spans="1:11">
      <c r="A18" s="221" t="str">
        <f t="shared" si="1"/>
        <v>41</v>
      </c>
      <c r="B18" s="218">
        <v>411000000</v>
      </c>
      <c r="C18" s="220">
        <v>0</v>
      </c>
      <c r="D18" s="220">
        <v>0</v>
      </c>
      <c r="E18" s="220">
        <v>0</v>
      </c>
      <c r="F18" s="220">
        <v>2400</v>
      </c>
      <c r="G18" s="220">
        <v>2400</v>
      </c>
      <c r="H18" s="222">
        <v>0</v>
      </c>
      <c r="I18" s="217" t="s">
        <v>920</v>
      </c>
      <c r="J18" s="246">
        <f>VLOOKUP(B18,'HK 20.2.2014'!B:I,8,0)</f>
        <v>0</v>
      </c>
      <c r="K18" s="224">
        <f t="shared" si="0"/>
        <v>0</v>
      </c>
    </row>
    <row r="19" spans="1:11">
      <c r="A19" s="221" t="str">
        <f t="shared" si="1"/>
        <v>42</v>
      </c>
      <c r="B19" s="218">
        <v>421000000</v>
      </c>
      <c r="C19" s="220">
        <v>103072</v>
      </c>
      <c r="D19" s="220">
        <v>0</v>
      </c>
      <c r="E19" s="220">
        <v>103072</v>
      </c>
      <c r="F19" s="220">
        <v>0</v>
      </c>
      <c r="G19" s="220">
        <v>103072</v>
      </c>
      <c r="H19" s="222">
        <v>0</v>
      </c>
      <c r="I19" s="217" t="s">
        <v>921</v>
      </c>
      <c r="J19" s="246">
        <f>VLOOKUP(B19,'HK 20.2.2014'!B:I,8,0)</f>
        <v>0</v>
      </c>
      <c r="K19" s="224">
        <f t="shared" si="0"/>
        <v>0</v>
      </c>
    </row>
    <row r="20" spans="1:11">
      <c r="A20" s="221" t="str">
        <f t="shared" si="1"/>
        <v>42</v>
      </c>
      <c r="B20" s="218">
        <v>422000000</v>
      </c>
      <c r="C20" s="220">
        <v>0</v>
      </c>
      <c r="D20" s="220">
        <v>47235.65</v>
      </c>
      <c r="E20" s="220">
        <v>37471.599999999999</v>
      </c>
      <c r="F20" s="220">
        <v>237354.99</v>
      </c>
      <c r="G20" s="220">
        <v>196025.47</v>
      </c>
      <c r="H20" s="222">
        <v>41329.519999999997</v>
      </c>
      <c r="I20" s="217" t="s">
        <v>922</v>
      </c>
      <c r="J20" s="246">
        <f>VLOOKUP(B20,'HK 20.2.2014'!B:I,8,0)</f>
        <v>41329.519999999997</v>
      </c>
      <c r="K20" s="224">
        <f t="shared" si="0"/>
        <v>0</v>
      </c>
    </row>
    <row r="21" spans="1:11">
      <c r="A21" s="221" t="str">
        <f t="shared" si="1"/>
        <v>42</v>
      </c>
      <c r="B21" s="218">
        <v>423000000</v>
      </c>
      <c r="C21" s="220">
        <v>0</v>
      </c>
      <c r="D21" s="220">
        <v>0</v>
      </c>
      <c r="E21" s="220">
        <v>0</v>
      </c>
      <c r="F21" s="220">
        <v>0</v>
      </c>
      <c r="G21" s="220">
        <v>0</v>
      </c>
      <c r="H21" s="222">
        <v>0</v>
      </c>
      <c r="I21" s="217" t="s">
        <v>923</v>
      </c>
      <c r="J21" s="246">
        <f>VLOOKUP(B21,'HK 20.2.2014'!B:I,8,0)</f>
        <v>0</v>
      </c>
      <c r="K21" s="224">
        <f t="shared" si="0"/>
        <v>0</v>
      </c>
    </row>
    <row r="22" spans="1:11">
      <c r="A22" s="221" t="str">
        <f t="shared" si="1"/>
        <v>42</v>
      </c>
      <c r="B22" s="218">
        <v>424000000</v>
      </c>
      <c r="C22" s="220">
        <v>0</v>
      </c>
      <c r="D22" s="220">
        <v>6129.07</v>
      </c>
      <c r="E22" s="220">
        <v>239251.5</v>
      </c>
      <c r="F22" s="220">
        <v>239251.5</v>
      </c>
      <c r="G22" s="220">
        <v>239251.5</v>
      </c>
      <c r="H22" s="222">
        <v>0</v>
      </c>
      <c r="I22" s="217" t="s">
        <v>924</v>
      </c>
      <c r="J22" s="246">
        <f>VLOOKUP(B22,'HK 20.2.2014'!B:I,8,0)</f>
        <v>0</v>
      </c>
      <c r="K22" s="224">
        <f t="shared" si="0"/>
        <v>0</v>
      </c>
    </row>
    <row r="23" spans="1:11">
      <c r="A23" s="221" t="str">
        <f t="shared" si="1"/>
        <v>52</v>
      </c>
      <c r="B23" s="218">
        <v>521000000</v>
      </c>
      <c r="C23" s="220">
        <v>0</v>
      </c>
      <c r="D23" s="220">
        <v>0</v>
      </c>
      <c r="E23" s="220">
        <v>0</v>
      </c>
      <c r="F23" s="220">
        <v>6038.02</v>
      </c>
      <c r="G23" s="220">
        <v>6038.02</v>
      </c>
      <c r="H23" s="222">
        <v>0</v>
      </c>
      <c r="I23" s="217" t="s">
        <v>925</v>
      </c>
      <c r="J23" s="246">
        <f>VLOOKUP(B23,'HK 20.2.2014'!B:I,8,0)</f>
        <v>0</v>
      </c>
      <c r="K23" s="224">
        <f t="shared" si="0"/>
        <v>0</v>
      </c>
    </row>
    <row r="24" spans="1:11">
      <c r="A24" s="221" t="str">
        <f t="shared" si="1"/>
        <v>73</v>
      </c>
      <c r="B24" s="218">
        <v>731000000</v>
      </c>
      <c r="C24" s="220">
        <v>-67383.360000000001</v>
      </c>
      <c r="D24" s="220">
        <v>0</v>
      </c>
      <c r="E24" s="220">
        <v>2091.92</v>
      </c>
      <c r="F24" s="220">
        <v>0</v>
      </c>
      <c r="G24" s="220">
        <v>24803.040000000001</v>
      </c>
      <c r="H24" s="222">
        <v>-92186.4</v>
      </c>
      <c r="I24" s="217" t="s">
        <v>926</v>
      </c>
      <c r="J24" s="246">
        <f>VLOOKUP(B24,'HK 20.2.2014'!B:I,8,0)</f>
        <v>-92186.4</v>
      </c>
      <c r="K24" s="224">
        <f t="shared" si="0"/>
        <v>0</v>
      </c>
    </row>
    <row r="25" spans="1:11">
      <c r="A25" s="221" t="str">
        <f t="shared" si="1"/>
        <v>81</v>
      </c>
      <c r="B25" s="218">
        <v>811000000</v>
      </c>
      <c r="C25" s="220">
        <v>-1352.42</v>
      </c>
      <c r="D25" s="220">
        <v>0</v>
      </c>
      <c r="E25" s="220">
        <v>3168.38</v>
      </c>
      <c r="F25" s="220">
        <v>0</v>
      </c>
      <c r="G25" s="220">
        <v>8727.16</v>
      </c>
      <c r="H25" s="222">
        <v>-10079.58</v>
      </c>
      <c r="I25" s="217" t="s">
        <v>488</v>
      </c>
      <c r="J25" s="246">
        <f>VLOOKUP(B25,'HK 20.2.2014'!B:I,8,0)</f>
        <v>-10046.219999999999</v>
      </c>
      <c r="K25" s="224">
        <f t="shared" si="0"/>
        <v>33.360000000000582</v>
      </c>
    </row>
    <row r="26" spans="1:11">
      <c r="A26" s="221" t="str">
        <f t="shared" si="1"/>
        <v>82</v>
      </c>
      <c r="B26" s="218">
        <v>821000000</v>
      </c>
      <c r="C26" s="220">
        <v>-28576.1</v>
      </c>
      <c r="D26" s="220">
        <v>0</v>
      </c>
      <c r="E26" s="220">
        <v>961.99</v>
      </c>
      <c r="F26" s="220">
        <v>0</v>
      </c>
      <c r="G26" s="220">
        <v>6657.72</v>
      </c>
      <c r="H26" s="222">
        <v>-35233.82</v>
      </c>
      <c r="I26" s="217" t="s">
        <v>927</v>
      </c>
      <c r="J26" s="246">
        <f>VLOOKUP(B26,'HK 20.2.2014'!B:I,8,0)</f>
        <v>-35233.82</v>
      </c>
      <c r="K26" s="224">
        <f t="shared" si="0"/>
        <v>0</v>
      </c>
    </row>
    <row r="27" spans="1:11">
      <c r="A27" s="221" t="str">
        <f t="shared" si="1"/>
        <v>82</v>
      </c>
      <c r="B27" s="218">
        <v>822000000</v>
      </c>
      <c r="C27" s="220">
        <v>-3713.07</v>
      </c>
      <c r="D27" s="220">
        <v>0</v>
      </c>
      <c r="E27" s="220">
        <v>0</v>
      </c>
      <c r="F27" s="220">
        <v>0</v>
      </c>
      <c r="G27" s="220">
        <v>0</v>
      </c>
      <c r="H27" s="222">
        <v>-3713.07</v>
      </c>
      <c r="I27" s="217" t="s">
        <v>928</v>
      </c>
      <c r="J27" s="246">
        <f>VLOOKUP(B27,'HK 20.2.2014'!B:I,8,0)</f>
        <v>-3713.07</v>
      </c>
      <c r="K27" s="224">
        <f t="shared" si="0"/>
        <v>0</v>
      </c>
    </row>
    <row r="28" spans="1:11">
      <c r="A28" s="221" t="str">
        <f t="shared" si="1"/>
        <v>82</v>
      </c>
      <c r="B28" s="218">
        <v>823000000</v>
      </c>
      <c r="C28" s="220">
        <v>-64925.26</v>
      </c>
      <c r="D28" s="220">
        <v>0</v>
      </c>
      <c r="E28" s="220">
        <v>419.85</v>
      </c>
      <c r="F28" s="220">
        <v>0</v>
      </c>
      <c r="G28" s="220">
        <v>4488.5600000000004</v>
      </c>
      <c r="H28" s="222">
        <v>-69413.820000000007</v>
      </c>
      <c r="I28" s="217" t="s">
        <v>929</v>
      </c>
      <c r="J28" s="246">
        <f>VLOOKUP(B28,'HK 20.2.2014'!B:I,8,0)</f>
        <v>-69413.820000000007</v>
      </c>
      <c r="K28" s="224">
        <f t="shared" si="0"/>
        <v>0</v>
      </c>
    </row>
    <row r="29" spans="1:11">
      <c r="A29" s="221" t="str">
        <f t="shared" si="1"/>
        <v>82</v>
      </c>
      <c r="B29" s="218">
        <v>824000000</v>
      </c>
      <c r="C29" s="220">
        <v>-984125.2</v>
      </c>
      <c r="D29" s="220">
        <v>0</v>
      </c>
      <c r="E29" s="220">
        <v>1634.98</v>
      </c>
      <c r="F29" s="220">
        <v>0</v>
      </c>
      <c r="G29" s="220">
        <v>18346.84</v>
      </c>
      <c r="H29" s="222">
        <v>-1002472.04</v>
      </c>
      <c r="I29" s="217" t="s">
        <v>930</v>
      </c>
      <c r="J29" s="246">
        <f>VLOOKUP(B29,'HK 20.2.2014'!B:I,8,0)</f>
        <v>-1002472.04</v>
      </c>
      <c r="K29" s="224">
        <f t="shared" si="0"/>
        <v>0</v>
      </c>
    </row>
    <row r="30" spans="1:11">
      <c r="A30" s="221" t="str">
        <f t="shared" si="1"/>
        <v>83</v>
      </c>
      <c r="B30" s="218">
        <v>831000000</v>
      </c>
      <c r="C30" s="220">
        <v>-157933.35</v>
      </c>
      <c r="D30" s="220">
        <v>0</v>
      </c>
      <c r="E30" s="220">
        <v>0</v>
      </c>
      <c r="F30" s="220">
        <v>0</v>
      </c>
      <c r="G30" s="220">
        <v>0</v>
      </c>
      <c r="H30" s="222">
        <v>-157933.35</v>
      </c>
      <c r="I30" s="217" t="s">
        <v>931</v>
      </c>
      <c r="J30" s="246">
        <f>VLOOKUP(B30,'HK 20.2.2014'!B:I,8,0)</f>
        <v>-157933.35</v>
      </c>
      <c r="K30" s="224">
        <f t="shared" si="0"/>
        <v>0</v>
      </c>
    </row>
    <row r="31" spans="1:11">
      <c r="A31" s="221" t="str">
        <f t="shared" si="1"/>
        <v>89</v>
      </c>
      <c r="B31" s="218">
        <v>891000000</v>
      </c>
      <c r="C31" s="220">
        <v>-36254.32</v>
      </c>
      <c r="D31" s="220">
        <v>0</v>
      </c>
      <c r="E31" s="220">
        <v>691.84</v>
      </c>
      <c r="F31" s="220">
        <v>0</v>
      </c>
      <c r="G31" s="220">
        <v>8302.08</v>
      </c>
      <c r="H31" s="222">
        <v>-44556.4</v>
      </c>
      <c r="I31" s="217" t="s">
        <v>932</v>
      </c>
      <c r="J31" s="246">
        <f>VLOOKUP(B31,'HK 20.2.2014'!B:I,8,0)</f>
        <v>-44556.4</v>
      </c>
      <c r="K31" s="224">
        <f t="shared" si="0"/>
        <v>0</v>
      </c>
    </row>
    <row r="32" spans="1:11">
      <c r="A32" s="221" t="str">
        <f t="shared" si="1"/>
        <v>94</v>
      </c>
      <c r="B32" s="218">
        <v>941000000</v>
      </c>
      <c r="C32" s="220">
        <v>-29036</v>
      </c>
      <c r="D32" s="220">
        <v>29036</v>
      </c>
      <c r="E32" s="220">
        <v>0</v>
      </c>
      <c r="F32" s="220">
        <v>29036</v>
      </c>
      <c r="G32" s="220">
        <v>0</v>
      </c>
      <c r="H32" s="222">
        <v>0</v>
      </c>
      <c r="I32" s="217" t="s">
        <v>933</v>
      </c>
      <c r="J32" s="246">
        <f>VLOOKUP(B32,'HK 20.2.2014'!B:I,8,0)</f>
        <v>0</v>
      </c>
      <c r="K32" s="224">
        <f t="shared" si="0"/>
        <v>0</v>
      </c>
    </row>
    <row r="33" spans="1:11">
      <c r="A33" s="221" t="str">
        <f>LEFT(B33,3)</f>
        <v>111</v>
      </c>
      <c r="B33" s="218">
        <v>1111211000</v>
      </c>
      <c r="C33" s="220">
        <v>0</v>
      </c>
      <c r="D33" s="220">
        <v>4545.51</v>
      </c>
      <c r="E33" s="220">
        <v>4545.51</v>
      </c>
      <c r="F33" s="220">
        <v>64407.4</v>
      </c>
      <c r="G33" s="220">
        <v>64407.4</v>
      </c>
      <c r="H33" s="222">
        <v>0</v>
      </c>
      <c r="I33" s="217" t="s">
        <v>934</v>
      </c>
      <c r="J33" s="246">
        <f>VLOOKUP(B33,'HK 20.2.2014'!B:I,8,0)</f>
        <v>0</v>
      </c>
      <c r="K33" s="224">
        <f t="shared" si="0"/>
        <v>0</v>
      </c>
    </row>
    <row r="34" spans="1:11">
      <c r="A34" s="221" t="str">
        <f t="shared" ref="A34:A97" si="2">LEFT(B34,3)</f>
        <v>111</v>
      </c>
      <c r="B34" s="218">
        <v>1111212000</v>
      </c>
      <c r="C34" s="220">
        <v>0</v>
      </c>
      <c r="D34" s="220">
        <v>63.42</v>
      </c>
      <c r="E34" s="220">
        <v>63.42</v>
      </c>
      <c r="F34" s="220">
        <v>1029.74</v>
      </c>
      <c r="G34" s="220">
        <v>1029.74</v>
      </c>
      <c r="H34" s="222">
        <v>0</v>
      </c>
      <c r="I34" s="217" t="s">
        <v>935</v>
      </c>
      <c r="J34" s="246">
        <f>VLOOKUP(B34,'HK 20.2.2014'!B:I,8,0)</f>
        <v>0</v>
      </c>
      <c r="K34" s="224">
        <f t="shared" si="0"/>
        <v>0</v>
      </c>
    </row>
    <row r="35" spans="1:11">
      <c r="A35" s="221" t="str">
        <f t="shared" si="2"/>
        <v>111</v>
      </c>
      <c r="B35" s="218">
        <v>1111300000</v>
      </c>
      <c r="C35" s="220">
        <v>0</v>
      </c>
      <c r="D35" s="220">
        <v>28373.97</v>
      </c>
      <c r="E35" s="220">
        <v>28373.97</v>
      </c>
      <c r="F35" s="220">
        <v>307312.52</v>
      </c>
      <c r="G35" s="220">
        <v>307312.52</v>
      </c>
      <c r="H35" s="222">
        <v>0</v>
      </c>
      <c r="I35" s="217" t="s">
        <v>936</v>
      </c>
      <c r="J35" s="246">
        <f>VLOOKUP(B35,'HK 20.2.2014'!B:I,8,0)</f>
        <v>0</v>
      </c>
      <c r="K35" s="224">
        <f t="shared" si="0"/>
        <v>0</v>
      </c>
    </row>
    <row r="36" spans="1:11">
      <c r="A36" s="221" t="str">
        <f t="shared" si="2"/>
        <v>111</v>
      </c>
      <c r="B36" s="218">
        <v>1111400000</v>
      </c>
      <c r="C36" s="220">
        <v>0</v>
      </c>
      <c r="D36" s="220">
        <v>18008.22</v>
      </c>
      <c r="E36" s="220">
        <v>18165.34</v>
      </c>
      <c r="F36" s="220">
        <v>228307.71</v>
      </c>
      <c r="G36" s="220">
        <v>228307.71</v>
      </c>
      <c r="H36" s="222">
        <v>0</v>
      </c>
      <c r="I36" s="217" t="s">
        <v>937</v>
      </c>
      <c r="J36" s="246">
        <f>VLOOKUP(B36,'HK 20.2.2014'!B:I,8,0)</f>
        <v>0</v>
      </c>
      <c r="K36" s="224">
        <f t="shared" si="0"/>
        <v>0</v>
      </c>
    </row>
    <row r="37" spans="1:11">
      <c r="A37" s="221" t="str">
        <f t="shared" si="2"/>
        <v>111</v>
      </c>
      <c r="B37" s="218">
        <v>1111500000</v>
      </c>
      <c r="C37" s="220">
        <v>0</v>
      </c>
      <c r="D37" s="220">
        <v>5616.24</v>
      </c>
      <c r="E37" s="220">
        <v>5616.24</v>
      </c>
      <c r="F37" s="220">
        <v>78266.8</v>
      </c>
      <c r="G37" s="220">
        <v>78266.8</v>
      </c>
      <c r="H37" s="222">
        <v>0</v>
      </c>
      <c r="I37" s="217" t="s">
        <v>938</v>
      </c>
      <c r="J37" s="246">
        <f>VLOOKUP(B37,'HK 20.2.2014'!B:I,8,0)</f>
        <v>0</v>
      </c>
      <c r="K37" s="224">
        <f t="shared" si="0"/>
        <v>0</v>
      </c>
    </row>
    <row r="38" spans="1:11">
      <c r="A38" s="221" t="str">
        <f t="shared" si="2"/>
        <v>111</v>
      </c>
      <c r="B38" s="218">
        <v>1111611000</v>
      </c>
      <c r="C38" s="220">
        <v>0</v>
      </c>
      <c r="D38" s="220">
        <v>7025.91</v>
      </c>
      <c r="E38" s="220">
        <v>7025.91</v>
      </c>
      <c r="F38" s="220">
        <v>95562.78</v>
      </c>
      <c r="G38" s="220">
        <v>95562.78</v>
      </c>
      <c r="H38" s="222">
        <v>0</v>
      </c>
      <c r="I38" s="217" t="s">
        <v>939</v>
      </c>
      <c r="J38" s="246">
        <f>VLOOKUP(B38,'HK 20.2.2014'!B:I,8,0)</f>
        <v>0</v>
      </c>
      <c r="K38" s="224">
        <f t="shared" si="0"/>
        <v>0</v>
      </c>
    </row>
    <row r="39" spans="1:11">
      <c r="A39" s="221" t="str">
        <f t="shared" si="2"/>
        <v>111</v>
      </c>
      <c r="B39" s="218">
        <v>1111711000</v>
      </c>
      <c r="C39" s="220">
        <v>0</v>
      </c>
      <c r="D39" s="220">
        <v>1995.01</v>
      </c>
      <c r="E39" s="220">
        <v>1995.01</v>
      </c>
      <c r="F39" s="220">
        <v>36445.599999999999</v>
      </c>
      <c r="G39" s="220">
        <v>36445.599999999999</v>
      </c>
      <c r="H39" s="222">
        <v>0</v>
      </c>
      <c r="I39" s="217" t="s">
        <v>940</v>
      </c>
      <c r="J39" s="246">
        <f>VLOOKUP(B39,'HK 20.2.2014'!B:I,8,0)</f>
        <v>0</v>
      </c>
      <c r="K39" s="224">
        <f t="shared" si="0"/>
        <v>0</v>
      </c>
    </row>
    <row r="40" spans="1:11">
      <c r="A40" s="221" t="str">
        <f t="shared" si="2"/>
        <v>111</v>
      </c>
      <c r="B40" s="218">
        <v>1111712000</v>
      </c>
      <c r="C40" s="220">
        <v>0</v>
      </c>
      <c r="D40" s="220">
        <v>2085.8000000000002</v>
      </c>
      <c r="E40" s="220">
        <v>2085.8000000000002</v>
      </c>
      <c r="F40" s="220">
        <v>26217.23</v>
      </c>
      <c r="G40" s="220">
        <v>26217.23</v>
      </c>
      <c r="H40" s="222">
        <v>0</v>
      </c>
      <c r="I40" s="217" t="s">
        <v>941</v>
      </c>
      <c r="J40" s="246">
        <f>VLOOKUP(B40,'HK 20.2.2014'!B:I,8,0)</f>
        <v>0</v>
      </c>
      <c r="K40" s="224">
        <f t="shared" si="0"/>
        <v>0</v>
      </c>
    </row>
    <row r="41" spans="1:11">
      <c r="A41" s="221" t="str">
        <f t="shared" si="2"/>
        <v>111</v>
      </c>
      <c r="B41" s="218">
        <v>1111811000</v>
      </c>
      <c r="C41" s="220">
        <v>0</v>
      </c>
      <c r="D41" s="220">
        <v>902.47</v>
      </c>
      <c r="E41" s="220">
        <v>902.47</v>
      </c>
      <c r="F41" s="220">
        <v>11107.94</v>
      </c>
      <c r="G41" s="220">
        <v>11107.94</v>
      </c>
      <c r="H41" s="222">
        <v>0</v>
      </c>
      <c r="I41" s="217" t="s">
        <v>942</v>
      </c>
      <c r="J41" s="246">
        <f>VLOOKUP(B41,'HK 20.2.2014'!B:I,8,0)</f>
        <v>0</v>
      </c>
      <c r="K41" s="224">
        <f t="shared" si="0"/>
        <v>0</v>
      </c>
    </row>
    <row r="42" spans="1:11">
      <c r="A42" s="221" t="str">
        <f t="shared" si="2"/>
        <v>112</v>
      </c>
      <c r="B42" s="218">
        <v>1121100000</v>
      </c>
      <c r="C42" s="220">
        <v>62376.28</v>
      </c>
      <c r="D42" s="220">
        <v>15622.72</v>
      </c>
      <c r="E42" s="220">
        <v>0</v>
      </c>
      <c r="F42" s="220">
        <v>15622.72</v>
      </c>
      <c r="G42" s="220">
        <v>0</v>
      </c>
      <c r="H42" s="222">
        <v>77999</v>
      </c>
      <c r="I42" s="217" t="s">
        <v>943</v>
      </c>
      <c r="J42" s="246">
        <f>VLOOKUP(B42,'HK 20.2.2014'!B:I,8,0)</f>
        <v>77999</v>
      </c>
      <c r="K42" s="224">
        <f t="shared" si="0"/>
        <v>0</v>
      </c>
    </row>
    <row r="43" spans="1:11">
      <c r="A43" s="221" t="str">
        <f t="shared" si="2"/>
        <v>112</v>
      </c>
      <c r="B43" s="218">
        <v>1121211000</v>
      </c>
      <c r="C43" s="220">
        <v>1371.17</v>
      </c>
      <c r="D43" s="220">
        <v>4545.5</v>
      </c>
      <c r="E43" s="220">
        <v>4338.32</v>
      </c>
      <c r="F43" s="220">
        <v>64982.18</v>
      </c>
      <c r="G43" s="220">
        <v>64402.36</v>
      </c>
      <c r="H43" s="222">
        <v>1950.99</v>
      </c>
      <c r="I43" s="217" t="s">
        <v>944</v>
      </c>
      <c r="J43" s="246">
        <f>VLOOKUP(B43,'HK 20.2.2014'!B:I,8,0)</f>
        <v>1950.99</v>
      </c>
      <c r="K43" s="224">
        <f t="shared" si="0"/>
        <v>0</v>
      </c>
    </row>
    <row r="44" spans="1:11">
      <c r="A44" s="221" t="str">
        <f t="shared" si="2"/>
        <v>112</v>
      </c>
      <c r="B44" s="218">
        <v>1121212000</v>
      </c>
      <c r="C44" s="220">
        <v>0</v>
      </c>
      <c r="D44" s="220">
        <v>63.42</v>
      </c>
      <c r="E44" s="220">
        <v>63.42</v>
      </c>
      <c r="F44" s="220">
        <v>1029.73</v>
      </c>
      <c r="G44" s="220">
        <v>1029.73</v>
      </c>
      <c r="H44" s="222">
        <v>0</v>
      </c>
      <c r="I44" s="217" t="s">
        <v>945</v>
      </c>
      <c r="J44" s="246">
        <f>VLOOKUP(B44,'HK 20.2.2014'!B:I,8,0)</f>
        <v>0</v>
      </c>
      <c r="K44" s="224">
        <f t="shared" si="0"/>
        <v>0</v>
      </c>
    </row>
    <row r="45" spans="1:11">
      <c r="A45" s="221" t="str">
        <f t="shared" si="2"/>
        <v>112</v>
      </c>
      <c r="B45" s="218">
        <v>1121300000</v>
      </c>
      <c r="C45" s="220">
        <v>13378.25</v>
      </c>
      <c r="D45" s="220">
        <v>28444.13</v>
      </c>
      <c r="E45" s="220">
        <v>27859.25</v>
      </c>
      <c r="F45" s="220">
        <v>321415.39</v>
      </c>
      <c r="G45" s="220">
        <v>322459.59999999998</v>
      </c>
      <c r="H45" s="222">
        <v>12334.04</v>
      </c>
      <c r="I45" s="217" t="s">
        <v>946</v>
      </c>
      <c r="J45" s="246">
        <f>VLOOKUP(B45,'HK 20.2.2014'!B:I,8,0)</f>
        <v>12334.04</v>
      </c>
      <c r="K45" s="224">
        <f t="shared" si="0"/>
        <v>0</v>
      </c>
    </row>
    <row r="46" spans="1:11">
      <c r="A46" s="221" t="str">
        <f t="shared" si="2"/>
        <v>112</v>
      </c>
      <c r="B46" s="218">
        <v>1121411000</v>
      </c>
      <c r="C46" s="220">
        <v>16584.18</v>
      </c>
      <c r="D46" s="220">
        <v>18191.14</v>
      </c>
      <c r="E46" s="220">
        <v>19280.41</v>
      </c>
      <c r="F46" s="220">
        <v>215076.89</v>
      </c>
      <c r="G46" s="220">
        <v>227246.98</v>
      </c>
      <c r="H46" s="222">
        <v>4414.09</v>
      </c>
      <c r="I46" s="217" t="s">
        <v>947</v>
      </c>
      <c r="J46" s="246">
        <f>VLOOKUP(B46,'HK 20.2.2014'!B:I,8,0)</f>
        <v>4414.09</v>
      </c>
      <c r="K46" s="224">
        <f t="shared" si="0"/>
        <v>0</v>
      </c>
    </row>
    <row r="47" spans="1:11">
      <c r="A47" s="221" t="str">
        <f t="shared" si="2"/>
        <v>112</v>
      </c>
      <c r="B47" s="218">
        <v>1121500000</v>
      </c>
      <c r="C47" s="220">
        <v>2477.3000000000002</v>
      </c>
      <c r="D47" s="220">
        <v>5616.02</v>
      </c>
      <c r="E47" s="220">
        <v>5780.42</v>
      </c>
      <c r="F47" s="220">
        <v>78265.72</v>
      </c>
      <c r="G47" s="220">
        <v>77559.77</v>
      </c>
      <c r="H47" s="222">
        <v>3183.25</v>
      </c>
      <c r="I47" s="217" t="s">
        <v>948</v>
      </c>
      <c r="J47" s="246">
        <f>VLOOKUP(B47,'HK 20.2.2014'!B:I,8,0)</f>
        <v>3183.25</v>
      </c>
      <c r="K47" s="224">
        <f t="shared" si="0"/>
        <v>0</v>
      </c>
    </row>
    <row r="48" spans="1:11">
      <c r="A48" s="221" t="str">
        <f t="shared" si="2"/>
        <v>112</v>
      </c>
      <c r="B48" s="218">
        <v>1121611000</v>
      </c>
      <c r="C48" s="220">
        <v>3410.92</v>
      </c>
      <c r="D48" s="220">
        <v>7025.47</v>
      </c>
      <c r="E48" s="220">
        <v>6393.75</v>
      </c>
      <c r="F48" s="220">
        <v>95783.54</v>
      </c>
      <c r="G48" s="220">
        <v>95935.2</v>
      </c>
      <c r="H48" s="222">
        <v>3259.26</v>
      </c>
      <c r="I48" s="217" t="s">
        <v>949</v>
      </c>
      <c r="J48" s="246">
        <f>VLOOKUP(B48,'HK 20.2.2014'!B:I,8,0)</f>
        <v>3259.26</v>
      </c>
      <c r="K48" s="224">
        <f t="shared" si="0"/>
        <v>0</v>
      </c>
    </row>
    <row r="49" spans="1:11">
      <c r="A49" s="221" t="str">
        <f t="shared" si="2"/>
        <v>112</v>
      </c>
      <c r="B49" s="218">
        <v>1121711000</v>
      </c>
      <c r="C49" s="220">
        <v>2511.4</v>
      </c>
      <c r="D49" s="220">
        <v>2010.43</v>
      </c>
      <c r="E49" s="220">
        <v>2148.73</v>
      </c>
      <c r="F49" s="220">
        <v>36460.660000000003</v>
      </c>
      <c r="G49" s="220">
        <v>36502.47</v>
      </c>
      <c r="H49" s="222">
        <v>2469.59</v>
      </c>
      <c r="I49" s="217" t="s">
        <v>950</v>
      </c>
      <c r="J49" s="246">
        <f>VLOOKUP(B49,'HK 20.2.2014'!B:I,8,0)</f>
        <v>2469.59</v>
      </c>
      <c r="K49" s="224">
        <f t="shared" si="0"/>
        <v>0</v>
      </c>
    </row>
    <row r="50" spans="1:11">
      <c r="A50" s="221" t="str">
        <f t="shared" si="2"/>
        <v>112</v>
      </c>
      <c r="B50" s="218">
        <v>1121712000</v>
      </c>
      <c r="C50" s="220">
        <v>2772.72</v>
      </c>
      <c r="D50" s="220">
        <v>2085.81</v>
      </c>
      <c r="E50" s="220">
        <v>1629.51</v>
      </c>
      <c r="F50" s="220">
        <v>26216.97</v>
      </c>
      <c r="G50" s="220">
        <v>25165.16</v>
      </c>
      <c r="H50" s="222">
        <v>3824.53</v>
      </c>
      <c r="I50" s="217" t="s">
        <v>951</v>
      </c>
      <c r="J50" s="246">
        <f>VLOOKUP(B50,'HK 20.2.2014'!B:I,8,0)</f>
        <v>3824.53</v>
      </c>
      <c r="K50" s="224">
        <f t="shared" si="0"/>
        <v>0</v>
      </c>
    </row>
    <row r="51" spans="1:11">
      <c r="A51" s="221" t="str">
        <f t="shared" si="2"/>
        <v>112</v>
      </c>
      <c r="B51" s="218">
        <v>1121811000</v>
      </c>
      <c r="C51" s="220">
        <v>3039.21</v>
      </c>
      <c r="D51" s="220">
        <v>902.44</v>
      </c>
      <c r="E51" s="220">
        <v>1071.81</v>
      </c>
      <c r="F51" s="220">
        <v>10892</v>
      </c>
      <c r="G51" s="220">
        <v>10557.04</v>
      </c>
      <c r="H51" s="222">
        <v>3374.17</v>
      </c>
      <c r="I51" s="217" t="s">
        <v>952</v>
      </c>
      <c r="J51" s="246">
        <f>VLOOKUP(B51,'HK 20.2.2014'!B:I,8,0)</f>
        <v>3374.17</v>
      </c>
      <c r="K51" s="224">
        <f t="shared" si="0"/>
        <v>0</v>
      </c>
    </row>
    <row r="52" spans="1:11">
      <c r="A52" s="221" t="str">
        <f t="shared" si="2"/>
        <v>112</v>
      </c>
      <c r="B52" s="218">
        <v>1121900000</v>
      </c>
      <c r="C52" s="220">
        <v>411.61</v>
      </c>
      <c r="D52" s="220">
        <v>0</v>
      </c>
      <c r="E52" s="220">
        <v>0</v>
      </c>
      <c r="F52" s="220">
        <v>0</v>
      </c>
      <c r="G52" s="220">
        <v>0</v>
      </c>
      <c r="H52" s="222">
        <v>411.61</v>
      </c>
      <c r="I52" s="217" t="s">
        <v>953</v>
      </c>
      <c r="J52" s="246">
        <f>VLOOKUP(B52,'HK 20.2.2014'!B:I,8,0)</f>
        <v>411.61</v>
      </c>
      <c r="K52" s="224">
        <f t="shared" si="0"/>
        <v>0</v>
      </c>
    </row>
    <row r="53" spans="1:11">
      <c r="A53" s="221" t="str">
        <f t="shared" si="2"/>
        <v>119</v>
      </c>
      <c r="B53" s="218">
        <v>1190000000</v>
      </c>
      <c r="C53" s="220">
        <v>0</v>
      </c>
      <c r="D53" s="220">
        <v>0</v>
      </c>
      <c r="E53" s="220">
        <v>0</v>
      </c>
      <c r="F53" s="220">
        <v>0</v>
      </c>
      <c r="G53" s="220">
        <v>0</v>
      </c>
      <c r="H53" s="222">
        <v>0</v>
      </c>
      <c r="I53" s="217" t="s">
        <v>559</v>
      </c>
      <c r="J53" s="246">
        <f>VLOOKUP(B53,'HK 20.2.2014'!B:I,8,0)</f>
        <v>0</v>
      </c>
      <c r="K53" s="224">
        <f t="shared" si="0"/>
        <v>0</v>
      </c>
    </row>
    <row r="54" spans="1:11">
      <c r="A54" s="221" t="str">
        <f t="shared" si="2"/>
        <v>119</v>
      </c>
      <c r="B54" s="218">
        <v>1191000000</v>
      </c>
      <c r="C54" s="220">
        <v>0</v>
      </c>
      <c r="D54" s="220">
        <v>110.24</v>
      </c>
      <c r="E54" s="220">
        <v>15.42</v>
      </c>
      <c r="F54" s="220">
        <v>185.42</v>
      </c>
      <c r="G54" s="220">
        <v>15.42</v>
      </c>
      <c r="H54" s="222">
        <v>170</v>
      </c>
      <c r="I54" s="217" t="s">
        <v>954</v>
      </c>
      <c r="J54" s="246">
        <f>VLOOKUP(B54,'HK 20.2.2014'!B:I,8,0)</f>
        <v>170</v>
      </c>
      <c r="K54" s="224">
        <f t="shared" si="0"/>
        <v>0</v>
      </c>
    </row>
    <row r="55" spans="1:11">
      <c r="A55" s="221" t="str">
        <f t="shared" si="2"/>
        <v>132</v>
      </c>
      <c r="B55" s="218">
        <v>1321000000</v>
      </c>
      <c r="C55" s="220">
        <v>24973.45</v>
      </c>
      <c r="D55" s="220">
        <v>0</v>
      </c>
      <c r="E55" s="220">
        <v>0</v>
      </c>
      <c r="F55" s="220">
        <v>47704.36</v>
      </c>
      <c r="G55" s="220">
        <v>72677.81</v>
      </c>
      <c r="H55" s="222">
        <v>0</v>
      </c>
      <c r="I55" s="217" t="s">
        <v>955</v>
      </c>
      <c r="J55" s="246">
        <f>VLOOKUP(B55,'HK 20.2.2014'!B:I,8,0)</f>
        <v>0</v>
      </c>
      <c r="K55" s="224">
        <f t="shared" si="0"/>
        <v>0</v>
      </c>
    </row>
    <row r="56" spans="1:11">
      <c r="A56" s="221" t="str">
        <f t="shared" si="2"/>
        <v>211</v>
      </c>
      <c r="B56" s="218">
        <v>2111000000</v>
      </c>
      <c r="C56" s="220">
        <v>7950.94</v>
      </c>
      <c r="D56" s="220">
        <v>11185.86</v>
      </c>
      <c r="E56" s="220">
        <v>11488.27</v>
      </c>
      <c r="F56" s="220">
        <v>133793.67000000001</v>
      </c>
      <c r="G56" s="220">
        <v>135786.12</v>
      </c>
      <c r="H56" s="222">
        <v>5958.49</v>
      </c>
      <c r="I56" s="217" t="s">
        <v>956</v>
      </c>
      <c r="J56" s="246">
        <f>VLOOKUP(B56,'HK 20.2.2014'!B:I,8,0)</f>
        <v>5958.49</v>
      </c>
      <c r="K56" s="224">
        <f t="shared" si="0"/>
        <v>0</v>
      </c>
    </row>
    <row r="57" spans="1:11">
      <c r="A57" s="221" t="str">
        <f t="shared" si="2"/>
        <v>213</v>
      </c>
      <c r="B57" s="218">
        <v>2131000000</v>
      </c>
      <c r="C57" s="220">
        <v>20.51</v>
      </c>
      <c r="D57" s="220">
        <v>0</v>
      </c>
      <c r="E57" s="220">
        <v>0</v>
      </c>
      <c r="F57" s="220">
        <v>0</v>
      </c>
      <c r="G57" s="220">
        <v>20.51</v>
      </c>
      <c r="H57" s="222">
        <v>0</v>
      </c>
      <c r="I57" s="217" t="s">
        <v>957</v>
      </c>
      <c r="J57" s="246">
        <f>VLOOKUP(B57,'HK 20.2.2014'!B:I,8,0)</f>
        <v>0</v>
      </c>
      <c r="K57" s="224">
        <f t="shared" si="0"/>
        <v>0</v>
      </c>
    </row>
    <row r="58" spans="1:11">
      <c r="A58" s="221" t="str">
        <f t="shared" si="2"/>
        <v>213</v>
      </c>
      <c r="B58" s="218">
        <v>2132000000</v>
      </c>
      <c r="C58" s="220">
        <v>626</v>
      </c>
      <c r="D58" s="220">
        <v>0</v>
      </c>
      <c r="E58" s="220">
        <v>125</v>
      </c>
      <c r="F58" s="220">
        <v>6550</v>
      </c>
      <c r="G58" s="220">
        <v>6768</v>
      </c>
      <c r="H58" s="222">
        <v>408</v>
      </c>
      <c r="I58" s="217" t="s">
        <v>958</v>
      </c>
      <c r="J58" s="246">
        <f>VLOOKUP(B58,'HK 20.2.2014'!B:I,8,0)</f>
        <v>408</v>
      </c>
      <c r="K58" s="224">
        <f t="shared" si="0"/>
        <v>0</v>
      </c>
    </row>
    <row r="59" spans="1:11">
      <c r="A59" s="221" t="str">
        <f t="shared" si="2"/>
        <v>213</v>
      </c>
      <c r="B59" s="218">
        <v>2133000000</v>
      </c>
      <c r="C59" s="220">
        <v>19.920000000000002</v>
      </c>
      <c r="D59" s="220">
        <v>0</v>
      </c>
      <c r="E59" s="220">
        <v>0</v>
      </c>
      <c r="F59" s="220">
        <v>0</v>
      </c>
      <c r="G59" s="220">
        <v>19.920000000000002</v>
      </c>
      <c r="H59" s="222">
        <v>0</v>
      </c>
      <c r="I59" s="217" t="s">
        <v>959</v>
      </c>
      <c r="J59" s="246">
        <f>VLOOKUP(B59,'HK 20.2.2014'!B:I,8,0)</f>
        <v>0</v>
      </c>
      <c r="K59" s="224">
        <f t="shared" si="0"/>
        <v>0</v>
      </c>
    </row>
    <row r="60" spans="1:11">
      <c r="A60" s="221" t="str">
        <f t="shared" si="2"/>
        <v>213</v>
      </c>
      <c r="B60" s="218">
        <v>2135000000</v>
      </c>
      <c r="C60" s="220">
        <v>44.81</v>
      </c>
      <c r="D60" s="220">
        <v>0</v>
      </c>
      <c r="E60" s="220">
        <v>0</v>
      </c>
      <c r="F60" s="220">
        <v>0</v>
      </c>
      <c r="G60" s="220">
        <v>44.81</v>
      </c>
      <c r="H60" s="222">
        <v>0</v>
      </c>
      <c r="I60" s="217" t="s">
        <v>960</v>
      </c>
      <c r="J60" s="246">
        <f>VLOOKUP(B60,'HK 20.2.2014'!B:I,8,0)</f>
        <v>0</v>
      </c>
      <c r="K60" s="224">
        <f t="shared" si="0"/>
        <v>0</v>
      </c>
    </row>
    <row r="61" spans="1:11">
      <c r="A61" s="221" t="str">
        <f t="shared" si="2"/>
        <v>213</v>
      </c>
      <c r="B61" s="218">
        <v>2136000000</v>
      </c>
      <c r="C61" s="220">
        <v>50</v>
      </c>
      <c r="D61" s="220">
        <v>0</v>
      </c>
      <c r="E61" s="220">
        <v>0</v>
      </c>
      <c r="F61" s="220">
        <v>0</v>
      </c>
      <c r="G61" s="220">
        <v>50</v>
      </c>
      <c r="H61" s="222">
        <v>0</v>
      </c>
      <c r="I61" s="217" t="s">
        <v>961</v>
      </c>
      <c r="J61" s="246">
        <f>VLOOKUP(B61,'HK 20.2.2014'!B:I,8,0)</f>
        <v>0</v>
      </c>
      <c r="K61" s="224">
        <f t="shared" si="0"/>
        <v>0</v>
      </c>
    </row>
    <row r="62" spans="1:11">
      <c r="A62" s="221" t="str">
        <f t="shared" si="2"/>
        <v>221</v>
      </c>
      <c r="B62" s="218">
        <v>2211000000</v>
      </c>
      <c r="C62" s="220">
        <v>203348.47</v>
      </c>
      <c r="D62" s="220">
        <v>0</v>
      </c>
      <c r="E62" s="220">
        <v>0</v>
      </c>
      <c r="F62" s="220">
        <v>2123388.16</v>
      </c>
      <c r="G62" s="220">
        <v>2326736.63</v>
      </c>
      <c r="H62" s="222">
        <v>0</v>
      </c>
      <c r="I62" s="217" t="s">
        <v>962</v>
      </c>
      <c r="J62" s="246">
        <f>VLOOKUP(B62,'HK 20.2.2014'!B:I,8,0)</f>
        <v>0</v>
      </c>
      <c r="K62" s="224">
        <f t="shared" si="0"/>
        <v>0</v>
      </c>
    </row>
    <row r="63" spans="1:11">
      <c r="A63" s="221" t="str">
        <f t="shared" si="2"/>
        <v>221</v>
      </c>
      <c r="B63" s="218">
        <v>2212000000</v>
      </c>
      <c r="C63" s="220">
        <v>1393.91</v>
      </c>
      <c r="D63" s="220">
        <v>1000</v>
      </c>
      <c r="E63" s="220">
        <v>330.2</v>
      </c>
      <c r="F63" s="220">
        <v>1324827.3</v>
      </c>
      <c r="G63" s="220">
        <v>1324891.55</v>
      </c>
      <c r="H63" s="222">
        <v>1329.66</v>
      </c>
      <c r="I63" s="217" t="s">
        <v>963</v>
      </c>
      <c r="J63" s="246">
        <f>VLOOKUP(B63,'HK 20.2.2014'!B:I,8,0)</f>
        <v>1329.66</v>
      </c>
      <c r="K63" s="224">
        <f t="shared" si="0"/>
        <v>0</v>
      </c>
    </row>
    <row r="64" spans="1:11">
      <c r="A64" s="221" t="str">
        <f t="shared" si="2"/>
        <v>221</v>
      </c>
      <c r="B64" s="218">
        <v>2213000000</v>
      </c>
      <c r="C64" s="220">
        <v>0</v>
      </c>
      <c r="D64" s="220">
        <v>956757.39</v>
      </c>
      <c r="E64" s="220">
        <v>956757.39</v>
      </c>
      <c r="F64" s="220">
        <v>8579867.9299999997</v>
      </c>
      <c r="G64" s="220">
        <v>8579867.9299999997</v>
      </c>
      <c r="H64" s="222">
        <v>0</v>
      </c>
      <c r="I64" s="217" t="s">
        <v>964</v>
      </c>
      <c r="J64" s="246">
        <f>VLOOKUP(B64,'HK 20.2.2014'!B:I,8,0)</f>
        <v>0</v>
      </c>
      <c r="K64" s="224">
        <f t="shared" si="0"/>
        <v>0</v>
      </c>
    </row>
    <row r="65" spans="1:11">
      <c r="A65" s="221" t="str">
        <f t="shared" si="2"/>
        <v>221</v>
      </c>
      <c r="B65" s="218">
        <v>2218000000</v>
      </c>
      <c r="C65" s="220">
        <v>3404.09</v>
      </c>
      <c r="D65" s="220">
        <v>0.03</v>
      </c>
      <c r="E65" s="220">
        <v>4.25</v>
      </c>
      <c r="F65" s="220">
        <v>0.36</v>
      </c>
      <c r="G65" s="220">
        <v>47.5</v>
      </c>
      <c r="H65" s="222">
        <v>3356.95</v>
      </c>
      <c r="I65" s="217" t="s">
        <v>965</v>
      </c>
      <c r="J65" s="246">
        <f>VLOOKUP(B65,'HK 20.2.2014'!B:I,8,0)</f>
        <v>3356.95</v>
      </c>
      <c r="K65" s="224">
        <f t="shared" si="0"/>
        <v>0</v>
      </c>
    </row>
    <row r="66" spans="1:11">
      <c r="A66" s="221" t="str">
        <f t="shared" si="2"/>
        <v>221</v>
      </c>
      <c r="B66" s="218">
        <v>2219000000</v>
      </c>
      <c r="C66" s="220">
        <v>3534.29</v>
      </c>
      <c r="D66" s="220">
        <v>0</v>
      </c>
      <c r="E66" s="220">
        <v>4.25</v>
      </c>
      <c r="F66" s="220">
        <v>0</v>
      </c>
      <c r="G66" s="220">
        <v>67.91</v>
      </c>
      <c r="H66" s="222">
        <v>3466.38</v>
      </c>
      <c r="I66" s="217" t="s">
        <v>966</v>
      </c>
      <c r="J66" s="246">
        <f>VLOOKUP(B66,'HK 20.2.2014'!B:I,8,0)</f>
        <v>3466.38</v>
      </c>
      <c r="K66" s="224">
        <f t="shared" ref="K66:K129" si="3">J66-H66</f>
        <v>0</v>
      </c>
    </row>
    <row r="67" spans="1:11">
      <c r="A67" s="221" t="str">
        <f t="shared" si="2"/>
        <v>231</v>
      </c>
      <c r="B67" s="218">
        <v>2311000000</v>
      </c>
      <c r="C67" s="220">
        <v>-407529.32</v>
      </c>
      <c r="D67" s="220">
        <v>0</v>
      </c>
      <c r="E67" s="220">
        <v>0</v>
      </c>
      <c r="F67" s="220">
        <v>1727356.23</v>
      </c>
      <c r="G67" s="220">
        <v>1319826.9099999999</v>
      </c>
      <c r="H67" s="222">
        <v>0</v>
      </c>
      <c r="I67" s="217" t="s">
        <v>967</v>
      </c>
      <c r="J67" s="246">
        <f>VLOOKUP(B67,'HK 20.2.2014'!B:I,8,0)</f>
        <v>0</v>
      </c>
      <c r="K67" s="224">
        <f t="shared" si="3"/>
        <v>0</v>
      </c>
    </row>
    <row r="68" spans="1:11">
      <c r="A68" s="221" t="str">
        <f t="shared" si="2"/>
        <v>249</v>
      </c>
      <c r="B68" s="218">
        <v>2491000000</v>
      </c>
      <c r="C68" s="220">
        <v>0</v>
      </c>
      <c r="D68" s="220">
        <v>0</v>
      </c>
      <c r="E68" s="220">
        <v>0</v>
      </c>
      <c r="F68" s="220">
        <v>300000</v>
      </c>
      <c r="G68" s="220">
        <v>300000</v>
      </c>
      <c r="H68" s="222">
        <v>0</v>
      </c>
      <c r="I68" s="217" t="s">
        <v>968</v>
      </c>
      <c r="J68" s="246">
        <f>VLOOKUP(B68,'HK 20.2.2014'!B:I,8,0)</f>
        <v>0</v>
      </c>
      <c r="K68" s="224">
        <f t="shared" si="3"/>
        <v>0</v>
      </c>
    </row>
    <row r="69" spans="1:11">
      <c r="A69" s="221" t="str">
        <f t="shared" si="2"/>
        <v>249</v>
      </c>
      <c r="B69" s="218">
        <v>2492000000</v>
      </c>
      <c r="C69" s="220">
        <v>-92200</v>
      </c>
      <c r="D69" s="220">
        <v>0</v>
      </c>
      <c r="E69" s="220">
        <v>0</v>
      </c>
      <c r="F69" s="220">
        <v>0</v>
      </c>
      <c r="G69" s="220">
        <v>0</v>
      </c>
      <c r="H69" s="222">
        <v>-92200</v>
      </c>
      <c r="I69" s="217" t="s">
        <v>969</v>
      </c>
      <c r="J69" s="246">
        <f>VLOOKUP(B69,'HK 20.2.2014'!B:I,8,0)</f>
        <v>-92200</v>
      </c>
      <c r="K69" s="224">
        <f t="shared" si="3"/>
        <v>0</v>
      </c>
    </row>
    <row r="70" spans="1:11">
      <c r="A70" s="221" t="str">
        <f t="shared" si="2"/>
        <v>249</v>
      </c>
      <c r="B70" s="218">
        <v>2493000000</v>
      </c>
      <c r="C70" s="220">
        <v>-20747.75</v>
      </c>
      <c r="D70" s="220">
        <v>0</v>
      </c>
      <c r="E70" s="220">
        <v>-227.57</v>
      </c>
      <c r="F70" s="220">
        <v>0</v>
      </c>
      <c r="G70" s="220">
        <v>17859.25</v>
      </c>
      <c r="H70" s="222">
        <v>-38607</v>
      </c>
      <c r="I70" s="217" t="s">
        <v>970</v>
      </c>
      <c r="J70" s="246">
        <f>VLOOKUP(B70,'HK 20.2.2014'!B:I,8,0)</f>
        <v>-38607</v>
      </c>
      <c r="K70" s="224">
        <f t="shared" si="3"/>
        <v>0</v>
      </c>
    </row>
    <row r="71" spans="1:11">
      <c r="A71" s="221" t="str">
        <f t="shared" si="2"/>
        <v>249</v>
      </c>
      <c r="B71" s="218">
        <v>2494000000</v>
      </c>
      <c r="C71" s="220">
        <v>-185532.47</v>
      </c>
      <c r="D71" s="220">
        <v>0</v>
      </c>
      <c r="E71" s="220">
        <v>0</v>
      </c>
      <c r="F71" s="220">
        <v>0</v>
      </c>
      <c r="G71" s="220">
        <v>0</v>
      </c>
      <c r="H71" s="222">
        <v>-185532.47</v>
      </c>
      <c r="I71" s="217" t="s">
        <v>971</v>
      </c>
      <c r="J71" s="246">
        <f>VLOOKUP(B71,'HK 20.2.2014'!B:I,8,0)</f>
        <v>-185532.47</v>
      </c>
      <c r="K71" s="224">
        <f t="shared" si="3"/>
        <v>0</v>
      </c>
    </row>
    <row r="72" spans="1:11">
      <c r="A72" s="221" t="str">
        <f t="shared" si="2"/>
        <v>249</v>
      </c>
      <c r="B72" s="218">
        <v>2495000000</v>
      </c>
      <c r="C72" s="220">
        <v>0</v>
      </c>
      <c r="D72" s="220">
        <v>0</v>
      </c>
      <c r="E72" s="220">
        <v>0</v>
      </c>
      <c r="F72" s="220">
        <v>1273.97</v>
      </c>
      <c r="G72" s="220">
        <v>1273.97</v>
      </c>
      <c r="H72" s="222">
        <v>0</v>
      </c>
      <c r="I72" s="217" t="s">
        <v>972</v>
      </c>
      <c r="J72" s="246">
        <f>VLOOKUP(B72,'HK 20.2.2014'!B:I,8,0)</f>
        <v>0</v>
      </c>
      <c r="K72" s="224">
        <f t="shared" si="3"/>
        <v>0</v>
      </c>
    </row>
    <row r="73" spans="1:11">
      <c r="A73" s="221" t="str">
        <f t="shared" si="2"/>
        <v>261</v>
      </c>
      <c r="B73" s="218">
        <v>2610000000</v>
      </c>
      <c r="C73" s="220">
        <v>0</v>
      </c>
      <c r="D73" s="220">
        <v>0</v>
      </c>
      <c r="E73" s="220">
        <v>0</v>
      </c>
      <c r="F73" s="220">
        <v>0</v>
      </c>
      <c r="G73" s="220">
        <v>0</v>
      </c>
      <c r="H73" s="222">
        <v>0</v>
      </c>
      <c r="I73" s="217" t="s">
        <v>606</v>
      </c>
      <c r="J73" s="246">
        <f>VLOOKUP(B73,'HK 20.2.2014'!B:I,8,0)</f>
        <v>0</v>
      </c>
      <c r="K73" s="224">
        <f t="shared" si="3"/>
        <v>0</v>
      </c>
    </row>
    <row r="74" spans="1:11">
      <c r="A74" s="221" t="str">
        <f t="shared" si="2"/>
        <v>261</v>
      </c>
      <c r="B74" s="218">
        <v>2611000000</v>
      </c>
      <c r="C74" s="220">
        <v>0</v>
      </c>
      <c r="D74" s="220">
        <v>9075.2999999999993</v>
      </c>
      <c r="E74" s="220">
        <v>9075.2999999999993</v>
      </c>
      <c r="F74" s="220">
        <v>87069.42</v>
      </c>
      <c r="G74" s="220">
        <v>87069.42</v>
      </c>
      <c r="H74" s="222">
        <v>0</v>
      </c>
      <c r="I74" s="217" t="s">
        <v>973</v>
      </c>
      <c r="J74" s="246">
        <f>VLOOKUP(B74,'HK 20.2.2014'!B:I,8,0)</f>
        <v>0</v>
      </c>
      <c r="K74" s="224">
        <f t="shared" si="3"/>
        <v>0</v>
      </c>
    </row>
    <row r="75" spans="1:11">
      <c r="A75" s="221" t="str">
        <f t="shared" si="2"/>
        <v>261</v>
      </c>
      <c r="B75" s="218">
        <v>2612000000</v>
      </c>
      <c r="C75" s="220">
        <v>0</v>
      </c>
      <c r="D75" s="220">
        <v>1000</v>
      </c>
      <c r="E75" s="220">
        <v>1000</v>
      </c>
      <c r="F75" s="220">
        <v>2814122.15</v>
      </c>
      <c r="G75" s="220">
        <v>2814122.15</v>
      </c>
      <c r="H75" s="222">
        <v>0</v>
      </c>
      <c r="I75" s="217" t="s">
        <v>974</v>
      </c>
      <c r="J75" s="246">
        <f>VLOOKUP(B75,'HK 20.2.2014'!B:I,8,0)</f>
        <v>0</v>
      </c>
      <c r="K75" s="224">
        <f t="shared" si="3"/>
        <v>0</v>
      </c>
    </row>
    <row r="76" spans="1:11">
      <c r="A76" s="221" t="str">
        <f t="shared" si="2"/>
        <v>311</v>
      </c>
      <c r="B76" s="218">
        <v>3111000000</v>
      </c>
      <c r="C76" s="220">
        <v>852251.5</v>
      </c>
      <c r="D76" s="220">
        <v>463893.09</v>
      </c>
      <c r="E76" s="220">
        <v>366113.53</v>
      </c>
      <c r="F76" s="220">
        <v>5588900.3799999999</v>
      </c>
      <c r="G76" s="220">
        <v>5505398.04</v>
      </c>
      <c r="H76" s="222">
        <v>935753.84</v>
      </c>
      <c r="I76" s="217" t="s">
        <v>975</v>
      </c>
      <c r="J76" s="246">
        <f>VLOOKUP(B76,'HK 20.2.2014'!B:I,8,0)</f>
        <v>935753.84</v>
      </c>
      <c r="K76" s="224">
        <f t="shared" si="3"/>
        <v>0</v>
      </c>
    </row>
    <row r="77" spans="1:11">
      <c r="A77" s="221" t="str">
        <f t="shared" si="2"/>
        <v>311</v>
      </c>
      <c r="B77" s="218">
        <v>3111100000</v>
      </c>
      <c r="C77" s="220">
        <v>-21557.58</v>
      </c>
      <c r="D77" s="220">
        <v>-56758.400000000001</v>
      </c>
      <c r="E77" s="220">
        <v>0</v>
      </c>
      <c r="F77" s="220">
        <v>-56777.93</v>
      </c>
      <c r="G77" s="220">
        <v>-21577.11</v>
      </c>
      <c r="H77" s="222">
        <v>-56758.400000000001</v>
      </c>
      <c r="I77" s="217" t="s">
        <v>976</v>
      </c>
      <c r="J77" s="246">
        <f>VLOOKUP(B77,'HK 20.2.2014'!B:I,8,0)</f>
        <v>50646.29</v>
      </c>
      <c r="K77" s="224">
        <f t="shared" si="3"/>
        <v>107404.69</v>
      </c>
    </row>
    <row r="78" spans="1:11">
      <c r="A78" s="221" t="str">
        <f t="shared" si="2"/>
        <v>311</v>
      </c>
      <c r="B78" s="218">
        <v>3112000000</v>
      </c>
      <c r="C78" s="220">
        <v>92713.4</v>
      </c>
      <c r="D78" s="220">
        <v>22952.91</v>
      </c>
      <c r="E78" s="220">
        <v>25008.02</v>
      </c>
      <c r="F78" s="220">
        <v>244342.91</v>
      </c>
      <c r="G78" s="220">
        <v>300726.5</v>
      </c>
      <c r="H78" s="222">
        <v>36329.81</v>
      </c>
      <c r="I78" s="217" t="s">
        <v>977</v>
      </c>
      <c r="J78" s="246">
        <f>VLOOKUP(B78,'HK 20.2.2014'!B:I,8,0)</f>
        <v>36329.81</v>
      </c>
      <c r="K78" s="224">
        <f t="shared" si="3"/>
        <v>0</v>
      </c>
    </row>
    <row r="79" spans="1:11">
      <c r="A79" s="221" t="str">
        <f t="shared" si="2"/>
        <v>311</v>
      </c>
      <c r="B79" s="218">
        <v>3115200000</v>
      </c>
      <c r="C79" s="220">
        <v>7516.5</v>
      </c>
      <c r="D79" s="220">
        <v>22.85</v>
      </c>
      <c r="E79" s="220">
        <v>0</v>
      </c>
      <c r="F79" s="220">
        <v>42123.87</v>
      </c>
      <c r="G79" s="220">
        <v>48377.09</v>
      </c>
      <c r="H79" s="222">
        <v>1263.28</v>
      </c>
      <c r="I79" s="217" t="s">
        <v>978</v>
      </c>
      <c r="J79" s="246">
        <f>VLOOKUP(B79,'HK 20.2.2014'!B:I,8,0)</f>
        <v>1263.28</v>
      </c>
      <c r="K79" s="224">
        <f t="shared" si="3"/>
        <v>0</v>
      </c>
    </row>
    <row r="80" spans="1:11">
      <c r="A80" s="221" t="str">
        <f t="shared" si="2"/>
        <v>311</v>
      </c>
      <c r="B80" s="218">
        <v>3115300000</v>
      </c>
      <c r="C80" s="220">
        <v>633.67999999999995</v>
      </c>
      <c r="D80" s="220">
        <v>665</v>
      </c>
      <c r="E80" s="220">
        <v>5023.68</v>
      </c>
      <c r="F80" s="220">
        <v>16503.490000000002</v>
      </c>
      <c r="G80" s="220">
        <v>16443.97</v>
      </c>
      <c r="H80" s="222">
        <v>693.2</v>
      </c>
      <c r="I80" s="217" t="s">
        <v>979</v>
      </c>
      <c r="J80" s="246">
        <f>VLOOKUP(B80,'HK 20.2.2014'!B:I,8,0)</f>
        <v>693.2</v>
      </c>
      <c r="K80" s="224">
        <f t="shared" si="3"/>
        <v>0</v>
      </c>
    </row>
    <row r="81" spans="1:11">
      <c r="A81" s="221" t="str">
        <f t="shared" si="2"/>
        <v>311</v>
      </c>
      <c r="B81" s="218">
        <v>3115400000</v>
      </c>
      <c r="C81" s="220">
        <v>36048.61</v>
      </c>
      <c r="D81" s="220">
        <v>0</v>
      </c>
      <c r="E81" s="220">
        <v>0</v>
      </c>
      <c r="F81" s="220">
        <v>52931.519999999997</v>
      </c>
      <c r="G81" s="220">
        <v>88980.13</v>
      </c>
      <c r="H81" s="222">
        <v>0</v>
      </c>
      <c r="I81" s="217" t="s">
        <v>980</v>
      </c>
      <c r="J81" s="246">
        <f>VLOOKUP(B81,'HK 20.2.2014'!B:I,8,0)</f>
        <v>0</v>
      </c>
      <c r="K81" s="224">
        <f t="shared" si="3"/>
        <v>0</v>
      </c>
    </row>
    <row r="82" spans="1:11">
      <c r="A82" s="221" t="str">
        <f t="shared" si="2"/>
        <v>311</v>
      </c>
      <c r="B82" s="218">
        <v>3115500000</v>
      </c>
      <c r="C82" s="220">
        <v>963.2</v>
      </c>
      <c r="D82" s="220">
        <v>12034.68</v>
      </c>
      <c r="E82" s="220">
        <v>3289.02</v>
      </c>
      <c r="F82" s="220">
        <v>103349.71</v>
      </c>
      <c r="G82" s="220">
        <v>91261.24</v>
      </c>
      <c r="H82" s="222">
        <v>13051.67</v>
      </c>
      <c r="I82" s="217" t="s">
        <v>981</v>
      </c>
      <c r="J82" s="246">
        <f>VLOOKUP(B82,'HK 20.2.2014'!B:I,8,0)</f>
        <v>13051.67</v>
      </c>
      <c r="K82" s="224">
        <f t="shared" si="3"/>
        <v>0</v>
      </c>
    </row>
    <row r="83" spans="1:11">
      <c r="A83" s="221" t="str">
        <f t="shared" si="2"/>
        <v>311</v>
      </c>
      <c r="B83" s="218">
        <v>3115600000</v>
      </c>
      <c r="C83" s="220">
        <v>983.22</v>
      </c>
      <c r="D83" s="220">
        <v>0</v>
      </c>
      <c r="E83" s="220">
        <v>0</v>
      </c>
      <c r="F83" s="220">
        <v>0</v>
      </c>
      <c r="G83" s="220">
        <v>0</v>
      </c>
      <c r="H83" s="222">
        <v>983.22</v>
      </c>
      <c r="I83" s="217" t="s">
        <v>982</v>
      </c>
      <c r="J83" s="246">
        <f>VLOOKUP(B83,'HK 20.2.2014'!B:I,8,0)</f>
        <v>983.22</v>
      </c>
      <c r="K83" s="224">
        <f t="shared" si="3"/>
        <v>0</v>
      </c>
    </row>
    <row r="84" spans="1:11">
      <c r="A84" s="221" t="str">
        <f t="shared" si="2"/>
        <v>314</v>
      </c>
      <c r="B84" s="218">
        <v>3141000000</v>
      </c>
      <c r="C84" s="220">
        <v>0</v>
      </c>
      <c r="D84" s="220">
        <v>0</v>
      </c>
      <c r="E84" s="220">
        <v>0</v>
      </c>
      <c r="F84" s="220">
        <v>0</v>
      </c>
      <c r="G84" s="220">
        <v>0</v>
      </c>
      <c r="H84" s="222">
        <v>0</v>
      </c>
      <c r="I84" s="217" t="s">
        <v>983</v>
      </c>
      <c r="J84" s="246">
        <f>VLOOKUP(B84,'HK 20.2.2014'!B:I,8,0)</f>
        <v>0</v>
      </c>
      <c r="K84" s="224">
        <f t="shared" si="3"/>
        <v>0</v>
      </c>
    </row>
    <row r="85" spans="1:11">
      <c r="A85" s="221" t="str">
        <f t="shared" si="2"/>
        <v>314</v>
      </c>
      <c r="B85" s="218">
        <v>3142000000</v>
      </c>
      <c r="C85" s="220">
        <v>199.16</v>
      </c>
      <c r="D85" s="220">
        <v>0</v>
      </c>
      <c r="E85" s="220">
        <v>0</v>
      </c>
      <c r="F85" s="220">
        <v>0</v>
      </c>
      <c r="G85" s="220">
        <v>0</v>
      </c>
      <c r="H85" s="222">
        <v>199.16</v>
      </c>
      <c r="I85" s="217" t="s">
        <v>984</v>
      </c>
      <c r="J85" s="246">
        <f>VLOOKUP(B85,'HK 20.2.2014'!B:I,8,0)</f>
        <v>199.16</v>
      </c>
      <c r="K85" s="224">
        <f t="shared" si="3"/>
        <v>0</v>
      </c>
    </row>
    <row r="86" spans="1:11">
      <c r="A86" s="221" t="str">
        <f t="shared" si="2"/>
        <v>314</v>
      </c>
      <c r="B86" s="218">
        <v>3143000000</v>
      </c>
      <c r="C86" s="220">
        <v>0</v>
      </c>
      <c r="D86" s="220">
        <v>20736.39</v>
      </c>
      <c r="E86" s="220">
        <v>20736.39</v>
      </c>
      <c r="F86" s="220">
        <v>240520.02</v>
      </c>
      <c r="G86" s="220">
        <v>240520.02</v>
      </c>
      <c r="H86" s="222">
        <v>0</v>
      </c>
      <c r="I86" s="217" t="s">
        <v>985</v>
      </c>
      <c r="J86" s="246">
        <f>VLOOKUP(B86,'HK 20.2.2014'!B:I,8,0)</f>
        <v>0</v>
      </c>
      <c r="K86" s="224">
        <f t="shared" si="3"/>
        <v>0</v>
      </c>
    </row>
    <row r="87" spans="1:11">
      <c r="A87" s="221" t="str">
        <f t="shared" si="2"/>
        <v>315</v>
      </c>
      <c r="B87" s="218">
        <v>3151000000</v>
      </c>
      <c r="C87" s="220">
        <v>1621.85</v>
      </c>
      <c r="D87" s="220">
        <v>0</v>
      </c>
      <c r="E87" s="220">
        <v>0</v>
      </c>
      <c r="F87" s="220">
        <v>19674.55</v>
      </c>
      <c r="G87" s="220">
        <v>21296.400000000001</v>
      </c>
      <c r="H87" s="222">
        <v>0</v>
      </c>
      <c r="I87" s="217" t="s">
        <v>986</v>
      </c>
      <c r="J87" s="246">
        <f>VLOOKUP(B87,'HK 20.2.2014'!B:I,8,0)</f>
        <v>0</v>
      </c>
      <c r="K87" s="224">
        <f t="shared" si="3"/>
        <v>0</v>
      </c>
    </row>
    <row r="88" spans="1:11">
      <c r="A88" s="221" t="str">
        <f t="shared" si="2"/>
        <v>315</v>
      </c>
      <c r="B88" s="218">
        <v>3152000000</v>
      </c>
      <c r="C88" s="220">
        <v>0</v>
      </c>
      <c r="D88" s="220">
        <v>701</v>
      </c>
      <c r="E88" s="220">
        <v>701</v>
      </c>
      <c r="F88" s="220">
        <v>8441</v>
      </c>
      <c r="G88" s="220">
        <v>8441</v>
      </c>
      <c r="H88" s="222">
        <v>0</v>
      </c>
      <c r="I88" s="217" t="s">
        <v>987</v>
      </c>
      <c r="J88" s="246">
        <f>VLOOKUP(B88,'HK 20.2.2014'!B:I,8,0)</f>
        <v>0</v>
      </c>
      <c r="K88" s="224">
        <f t="shared" si="3"/>
        <v>0</v>
      </c>
    </row>
    <row r="89" spans="1:11">
      <c r="A89" s="221" t="str">
        <f t="shared" si="2"/>
        <v>315</v>
      </c>
      <c r="B89" s="218">
        <v>3153000000</v>
      </c>
      <c r="C89" s="220">
        <v>0</v>
      </c>
      <c r="D89" s="220">
        <v>0</v>
      </c>
      <c r="E89" s="220">
        <v>0</v>
      </c>
      <c r="F89" s="220">
        <v>850</v>
      </c>
      <c r="G89" s="220">
        <v>850</v>
      </c>
      <c r="H89" s="222">
        <v>0</v>
      </c>
      <c r="I89" s="217" t="s">
        <v>988</v>
      </c>
      <c r="J89" s="246">
        <f>VLOOKUP(B89,'HK 20.2.2014'!B:I,8,0)</f>
        <v>0</v>
      </c>
      <c r="K89" s="224">
        <f t="shared" si="3"/>
        <v>0</v>
      </c>
    </row>
    <row r="90" spans="1:11">
      <c r="A90" s="221" t="str">
        <f t="shared" si="2"/>
        <v>315</v>
      </c>
      <c r="B90" s="218">
        <v>3154000000</v>
      </c>
      <c r="C90" s="220">
        <v>0</v>
      </c>
      <c r="D90" s="220">
        <v>0</v>
      </c>
      <c r="E90" s="220">
        <v>0</v>
      </c>
      <c r="F90" s="220">
        <v>0</v>
      </c>
      <c r="G90" s="220">
        <v>0</v>
      </c>
      <c r="H90" s="222">
        <v>0</v>
      </c>
      <c r="I90" s="217" t="s">
        <v>1205</v>
      </c>
      <c r="J90" s="246">
        <f>VLOOKUP(B90,'HK 20.2.2014'!B:I,8,0)</f>
        <v>0</v>
      </c>
      <c r="K90" s="224">
        <f t="shared" si="3"/>
        <v>0</v>
      </c>
    </row>
    <row r="91" spans="1:11">
      <c r="A91" s="221" t="str">
        <f t="shared" si="2"/>
        <v>321</v>
      </c>
      <c r="B91" s="218">
        <v>3211000000</v>
      </c>
      <c r="C91" s="220">
        <v>-641155.61</v>
      </c>
      <c r="D91" s="220">
        <v>196528.67</v>
      </c>
      <c r="E91" s="220">
        <v>286652.15000000002</v>
      </c>
      <c r="F91" s="220">
        <v>2606004.86</v>
      </c>
      <c r="G91" s="220">
        <v>2301920.85</v>
      </c>
      <c r="H91" s="222">
        <v>-337071.6</v>
      </c>
      <c r="I91" s="217" t="s">
        <v>989</v>
      </c>
      <c r="J91" s="246">
        <f>VLOOKUP(B91,'HK 20.2.2014'!B:I,8,0)</f>
        <v>-565802.53</v>
      </c>
      <c r="K91" s="224">
        <f t="shared" si="3"/>
        <v>-228730.93000000005</v>
      </c>
    </row>
    <row r="92" spans="1:11">
      <c r="A92" s="221" t="str">
        <f t="shared" si="2"/>
        <v>321</v>
      </c>
      <c r="B92" s="218">
        <v>3212000000</v>
      </c>
      <c r="C92" s="220">
        <v>-995</v>
      </c>
      <c r="D92" s="220">
        <v>831.12</v>
      </c>
      <c r="E92" s="220">
        <v>0</v>
      </c>
      <c r="F92" s="220">
        <v>3867.09</v>
      </c>
      <c r="G92" s="220">
        <v>2872.09</v>
      </c>
      <c r="H92" s="222">
        <v>0</v>
      </c>
      <c r="I92" s="217" t="s">
        <v>990</v>
      </c>
      <c r="J92" s="246">
        <f>VLOOKUP(B92,'HK 20.2.2014'!B:I,8,0)</f>
        <v>0</v>
      </c>
      <c r="K92" s="224">
        <f t="shared" si="3"/>
        <v>0</v>
      </c>
    </row>
    <row r="93" spans="1:11">
      <c r="A93" s="221" t="str">
        <f t="shared" si="2"/>
        <v>321</v>
      </c>
      <c r="B93" s="218">
        <v>3213000000</v>
      </c>
      <c r="C93" s="220">
        <v>-56000</v>
      </c>
      <c r="D93" s="220">
        <v>0</v>
      </c>
      <c r="E93" s="220">
        <v>0</v>
      </c>
      <c r="F93" s="220">
        <v>56000</v>
      </c>
      <c r="G93" s="220">
        <v>0</v>
      </c>
      <c r="H93" s="222">
        <v>0</v>
      </c>
      <c r="I93" s="217" t="s">
        <v>991</v>
      </c>
      <c r="J93" s="246">
        <f>VLOOKUP(B93,'HK 20.2.2014'!B:I,8,0)</f>
        <v>0</v>
      </c>
      <c r="K93" s="224">
        <f t="shared" si="3"/>
        <v>0</v>
      </c>
    </row>
    <row r="94" spans="1:11">
      <c r="A94" s="221" t="str">
        <f t="shared" si="2"/>
        <v>323</v>
      </c>
      <c r="B94" s="218">
        <v>3231000000</v>
      </c>
      <c r="C94" s="220">
        <v>-72236.84</v>
      </c>
      <c r="D94" s="220">
        <v>0</v>
      </c>
      <c r="E94" s="220">
        <v>17447.66</v>
      </c>
      <c r="F94" s="220">
        <v>12936.47</v>
      </c>
      <c r="G94" s="220">
        <v>17447.66</v>
      </c>
      <c r="H94" s="222">
        <v>-76748.03</v>
      </c>
      <c r="I94" s="217" t="s">
        <v>992</v>
      </c>
      <c r="J94" s="246">
        <f>VLOOKUP(B94,'HK 20.2.2014'!B:I,8,0)</f>
        <v>-76748.03</v>
      </c>
      <c r="K94" s="224">
        <f t="shared" si="3"/>
        <v>0</v>
      </c>
    </row>
    <row r="95" spans="1:11">
      <c r="A95" s="221" t="str">
        <f t="shared" si="2"/>
        <v>323</v>
      </c>
      <c r="B95" s="218">
        <v>3233000000</v>
      </c>
      <c r="C95" s="220">
        <v>-40668.5</v>
      </c>
      <c r="D95" s="220">
        <v>0</v>
      </c>
      <c r="E95" s="220">
        <v>14448.51</v>
      </c>
      <c r="F95" s="220">
        <v>10710.01</v>
      </c>
      <c r="G95" s="220">
        <v>-5020.49</v>
      </c>
      <c r="H95" s="222">
        <v>-24938</v>
      </c>
      <c r="I95" s="217" t="s">
        <v>993</v>
      </c>
      <c r="J95" s="246">
        <f>VLOOKUP(B95,'HK 20.2.2014'!B:I,8,0)</f>
        <v>-24938</v>
      </c>
      <c r="K95" s="224">
        <f t="shared" si="3"/>
        <v>0</v>
      </c>
    </row>
    <row r="96" spans="1:11">
      <c r="A96" s="221" t="str">
        <f t="shared" si="2"/>
        <v>324</v>
      </c>
      <c r="B96" s="218">
        <v>3243000000</v>
      </c>
      <c r="C96" s="220">
        <v>-28044.03</v>
      </c>
      <c r="D96" s="220">
        <v>4744.96</v>
      </c>
      <c r="E96" s="220">
        <v>0</v>
      </c>
      <c r="F96" s="220">
        <v>227181.77</v>
      </c>
      <c r="G96" s="220">
        <v>199137.74</v>
      </c>
      <c r="H96" s="222">
        <v>0</v>
      </c>
      <c r="I96" s="217" t="s">
        <v>994</v>
      </c>
      <c r="J96" s="246">
        <f>VLOOKUP(B96,'HK 20.2.2014'!B:I,8,0)</f>
        <v>0</v>
      </c>
      <c r="K96" s="224">
        <f t="shared" si="3"/>
        <v>0</v>
      </c>
    </row>
    <row r="97" spans="1:11">
      <c r="A97" s="221" t="str">
        <f t="shared" si="2"/>
        <v>326</v>
      </c>
      <c r="B97" s="218">
        <v>3261000000</v>
      </c>
      <c r="C97" s="220">
        <v>-10331.6</v>
      </c>
      <c r="D97" s="220">
        <v>0</v>
      </c>
      <c r="E97" s="220">
        <v>-34030.97</v>
      </c>
      <c r="F97" s="220">
        <v>49019.839999999997</v>
      </c>
      <c r="G97" s="220">
        <v>202638.07</v>
      </c>
      <c r="H97" s="222">
        <v>-163949.82999999999</v>
      </c>
      <c r="I97" s="217" t="s">
        <v>995</v>
      </c>
      <c r="J97" s="246">
        <f>VLOOKUP(B97,'HK 20.2.2014'!B:I,8,0)</f>
        <v>-363.1</v>
      </c>
      <c r="K97" s="224">
        <f t="shared" si="3"/>
        <v>163586.72999999998</v>
      </c>
    </row>
    <row r="98" spans="1:11">
      <c r="A98" s="221" t="str">
        <f t="shared" ref="A98:A161" si="4">LEFT(B98,3)</f>
        <v>326</v>
      </c>
      <c r="B98" s="218">
        <v>3262000000</v>
      </c>
      <c r="C98" s="220">
        <v>0</v>
      </c>
      <c r="D98" s="220">
        <v>796.66</v>
      </c>
      <c r="E98" s="220">
        <v>0</v>
      </c>
      <c r="F98" s="220">
        <v>796.66</v>
      </c>
      <c r="G98" s="220">
        <v>0</v>
      </c>
      <c r="H98" s="222">
        <v>796.66</v>
      </c>
      <c r="I98" s="217" t="s">
        <v>1206</v>
      </c>
      <c r="J98" s="246">
        <f>VLOOKUP(B98,'HK 20.2.2014'!B:I,8,0)</f>
        <v>0</v>
      </c>
      <c r="K98" s="224">
        <f t="shared" si="3"/>
        <v>-796.66</v>
      </c>
    </row>
    <row r="99" spans="1:11">
      <c r="A99" s="221" t="str">
        <f t="shared" si="4"/>
        <v>331</v>
      </c>
      <c r="B99" s="218">
        <v>3311000000</v>
      </c>
      <c r="C99" s="220">
        <v>-198657.28</v>
      </c>
      <c r="D99" s="220">
        <v>259926</v>
      </c>
      <c r="E99" s="220">
        <v>248010.98</v>
      </c>
      <c r="F99" s="220">
        <v>2996276.48</v>
      </c>
      <c r="G99" s="220">
        <v>2988296.27</v>
      </c>
      <c r="H99" s="222">
        <v>-190677.07</v>
      </c>
      <c r="I99" s="217" t="s">
        <v>996</v>
      </c>
      <c r="J99" s="246">
        <f>VLOOKUP(B99,'HK 20.2.2014'!B:I,8,0)</f>
        <v>-190677.07</v>
      </c>
      <c r="K99" s="224">
        <f t="shared" si="3"/>
        <v>0</v>
      </c>
    </row>
    <row r="100" spans="1:11">
      <c r="A100" s="221" t="str">
        <f t="shared" si="4"/>
        <v>335</v>
      </c>
      <c r="B100" s="218">
        <v>3351000000</v>
      </c>
      <c r="C100" s="220">
        <v>0</v>
      </c>
      <c r="D100" s="220">
        <v>0</v>
      </c>
      <c r="E100" s="220">
        <v>0</v>
      </c>
      <c r="F100" s="220">
        <v>0</v>
      </c>
      <c r="G100" s="220">
        <v>0</v>
      </c>
      <c r="H100" s="222">
        <v>0</v>
      </c>
      <c r="I100" s="217" t="s">
        <v>997</v>
      </c>
      <c r="J100" s="246">
        <f>VLOOKUP(B100,'HK 20.2.2014'!B:I,8,0)</f>
        <v>0</v>
      </c>
      <c r="K100" s="224">
        <f t="shared" si="3"/>
        <v>0</v>
      </c>
    </row>
    <row r="101" spans="1:11">
      <c r="A101" s="221" t="str">
        <f t="shared" si="4"/>
        <v>335</v>
      </c>
      <c r="B101" s="218">
        <v>3354000000</v>
      </c>
      <c r="C101" s="220">
        <v>0</v>
      </c>
      <c r="D101" s="220">
        <v>1601.62</v>
      </c>
      <c r="E101" s="220">
        <v>1024.19</v>
      </c>
      <c r="F101" s="220">
        <v>15344.42</v>
      </c>
      <c r="G101" s="220">
        <v>15344.42</v>
      </c>
      <c r="H101" s="222">
        <v>0</v>
      </c>
      <c r="I101" s="217" t="s">
        <v>998</v>
      </c>
      <c r="J101" s="246">
        <f>VLOOKUP(B101,'HK 20.2.2014'!B:I,8,0)</f>
        <v>0</v>
      </c>
      <c r="K101" s="224">
        <f t="shared" si="3"/>
        <v>0</v>
      </c>
    </row>
    <row r="102" spans="1:11">
      <c r="A102" s="221" t="str">
        <f t="shared" si="4"/>
        <v>335</v>
      </c>
      <c r="B102" s="218">
        <v>3354100000</v>
      </c>
      <c r="C102" s="220">
        <v>0</v>
      </c>
      <c r="D102" s="220">
        <v>103.4</v>
      </c>
      <c r="E102" s="220">
        <v>0</v>
      </c>
      <c r="F102" s="220">
        <v>385.4</v>
      </c>
      <c r="G102" s="220">
        <v>385.4</v>
      </c>
      <c r="H102" s="222">
        <v>0</v>
      </c>
      <c r="I102" s="217" t="s">
        <v>999</v>
      </c>
      <c r="J102" s="246">
        <f>VLOOKUP(B102,'HK 20.2.2014'!B:I,8,0)</f>
        <v>0</v>
      </c>
      <c r="K102" s="224">
        <f t="shared" si="3"/>
        <v>0</v>
      </c>
    </row>
    <row r="103" spans="1:11">
      <c r="A103" s="221" t="str">
        <f t="shared" si="4"/>
        <v>335</v>
      </c>
      <c r="B103" s="218">
        <v>3357000000</v>
      </c>
      <c r="C103" s="220">
        <v>0</v>
      </c>
      <c r="D103" s="220">
        <v>20</v>
      </c>
      <c r="E103" s="220">
        <v>20</v>
      </c>
      <c r="F103" s="220">
        <v>6663</v>
      </c>
      <c r="G103" s="220">
        <v>6663</v>
      </c>
      <c r="H103" s="222">
        <v>0</v>
      </c>
      <c r="I103" s="217" t="s">
        <v>1000</v>
      </c>
      <c r="J103" s="246">
        <f>VLOOKUP(B103,'HK 20.2.2014'!B:I,8,0)</f>
        <v>0</v>
      </c>
      <c r="K103" s="224">
        <f t="shared" si="3"/>
        <v>0</v>
      </c>
    </row>
    <row r="104" spans="1:11">
      <c r="A104" s="221" t="str">
        <f t="shared" si="4"/>
        <v>335</v>
      </c>
      <c r="B104" s="218">
        <v>3358000000</v>
      </c>
      <c r="C104" s="220">
        <v>0</v>
      </c>
      <c r="D104" s="220">
        <v>300</v>
      </c>
      <c r="E104" s="220">
        <v>300</v>
      </c>
      <c r="F104" s="220">
        <v>7090</v>
      </c>
      <c r="G104" s="220">
        <v>7090</v>
      </c>
      <c r="H104" s="222">
        <v>0</v>
      </c>
      <c r="I104" s="217" t="s">
        <v>1001</v>
      </c>
      <c r="J104" s="246">
        <f>VLOOKUP(B104,'HK 20.2.2014'!B:I,8,0)</f>
        <v>0</v>
      </c>
      <c r="K104" s="224">
        <f t="shared" si="3"/>
        <v>0</v>
      </c>
    </row>
    <row r="105" spans="1:11">
      <c r="A105" s="221" t="str">
        <f t="shared" si="4"/>
        <v>335</v>
      </c>
      <c r="B105" s="218">
        <v>3359000000</v>
      </c>
      <c r="C105" s="220">
        <v>0</v>
      </c>
      <c r="D105" s="220">
        <v>0</v>
      </c>
      <c r="E105" s="220">
        <v>0</v>
      </c>
      <c r="F105" s="220">
        <v>9242.77</v>
      </c>
      <c r="G105" s="220">
        <v>9242.77</v>
      </c>
      <c r="H105" s="222">
        <v>0</v>
      </c>
      <c r="I105" s="217" t="s">
        <v>1002</v>
      </c>
      <c r="J105" s="246">
        <f>VLOOKUP(B105,'HK 20.2.2014'!B:I,8,0)</f>
        <v>0</v>
      </c>
      <c r="K105" s="224">
        <f t="shared" si="3"/>
        <v>0</v>
      </c>
    </row>
    <row r="106" spans="1:11">
      <c r="A106" s="221" t="str">
        <f t="shared" si="4"/>
        <v>336</v>
      </c>
      <c r="B106" s="218">
        <v>3361000000</v>
      </c>
      <c r="C106" s="220">
        <v>-31800</v>
      </c>
      <c r="D106" s="220">
        <v>36187.339999999997</v>
      </c>
      <c r="E106" s="220">
        <v>33026.660000000003</v>
      </c>
      <c r="F106" s="220">
        <v>395754.7</v>
      </c>
      <c r="G106" s="220">
        <v>396771.61</v>
      </c>
      <c r="H106" s="222">
        <v>-32816.910000000003</v>
      </c>
      <c r="I106" s="217" t="s">
        <v>1003</v>
      </c>
      <c r="J106" s="246">
        <f>VLOOKUP(B106,'HK 20.2.2014'!B:I,8,0)</f>
        <v>-32816.910000000003</v>
      </c>
      <c r="K106" s="224">
        <f t="shared" si="3"/>
        <v>0</v>
      </c>
    </row>
    <row r="107" spans="1:11">
      <c r="A107" s="221" t="str">
        <f t="shared" si="4"/>
        <v>336</v>
      </c>
      <c r="B107" s="218">
        <v>3366000000</v>
      </c>
      <c r="C107" s="220">
        <v>-80046.23</v>
      </c>
      <c r="D107" s="220">
        <v>90729.65</v>
      </c>
      <c r="E107" s="220">
        <v>83398</v>
      </c>
      <c r="F107" s="220">
        <v>986827.52</v>
      </c>
      <c r="G107" s="220">
        <v>989690.11</v>
      </c>
      <c r="H107" s="222">
        <v>-82908.820000000007</v>
      </c>
      <c r="I107" s="217" t="s">
        <v>1004</v>
      </c>
      <c r="J107" s="246">
        <f>VLOOKUP(B107,'HK 20.2.2014'!B:I,8,0)</f>
        <v>-82908.820000000007</v>
      </c>
      <c r="K107" s="224">
        <f t="shared" si="3"/>
        <v>0</v>
      </c>
    </row>
    <row r="108" spans="1:11">
      <c r="A108" s="221" t="str">
        <f t="shared" si="4"/>
        <v>341</v>
      </c>
      <c r="B108" s="218">
        <v>3412000000</v>
      </c>
      <c r="C108" s="220">
        <v>6617.42</v>
      </c>
      <c r="D108" s="220">
        <v>0</v>
      </c>
      <c r="E108" s="220">
        <v>0</v>
      </c>
      <c r="F108" s="220">
        <v>0</v>
      </c>
      <c r="G108" s="220">
        <v>6617.42</v>
      </c>
      <c r="H108" s="222">
        <v>0</v>
      </c>
      <c r="I108" s="217" t="s">
        <v>1005</v>
      </c>
      <c r="J108" s="246">
        <f>VLOOKUP(B108,'HK 20.2.2014'!B:I,8,0)</f>
        <v>0</v>
      </c>
      <c r="K108" s="224">
        <f t="shared" si="3"/>
        <v>0</v>
      </c>
    </row>
    <row r="109" spans="1:11">
      <c r="A109" s="221" t="str">
        <f t="shared" si="4"/>
        <v>342</v>
      </c>
      <c r="B109" s="218">
        <v>3421000000</v>
      </c>
      <c r="C109" s="220">
        <v>-25895.31</v>
      </c>
      <c r="D109" s="220">
        <v>27392.42</v>
      </c>
      <c r="E109" s="220">
        <v>24406.19</v>
      </c>
      <c r="F109" s="220">
        <v>286026.59999999998</v>
      </c>
      <c r="G109" s="220">
        <v>284537.48</v>
      </c>
      <c r="H109" s="222">
        <v>-24406.19</v>
      </c>
      <c r="I109" s="217" t="s">
        <v>1006</v>
      </c>
      <c r="J109" s="246">
        <f>VLOOKUP(B109,'HK 20.2.2014'!B:I,8,0)</f>
        <v>-24406.19</v>
      </c>
      <c r="K109" s="224">
        <f t="shared" si="3"/>
        <v>0</v>
      </c>
    </row>
    <row r="110" spans="1:11">
      <c r="A110" s="221" t="str">
        <f t="shared" si="4"/>
        <v>342</v>
      </c>
      <c r="B110" s="218">
        <v>3423000000</v>
      </c>
      <c r="C110" s="220">
        <v>0</v>
      </c>
      <c r="D110" s="220">
        <v>0</v>
      </c>
      <c r="E110" s="220">
        <v>0</v>
      </c>
      <c r="F110" s="220">
        <v>0</v>
      </c>
      <c r="G110" s="220">
        <v>0</v>
      </c>
      <c r="H110" s="222">
        <v>0</v>
      </c>
      <c r="I110" s="217" t="s">
        <v>1007</v>
      </c>
      <c r="J110" s="246">
        <f>VLOOKUP(B110,'HK 20.2.2014'!B:I,8,0)</f>
        <v>0</v>
      </c>
      <c r="K110" s="224">
        <f t="shared" si="3"/>
        <v>0</v>
      </c>
    </row>
    <row r="111" spans="1:11">
      <c r="A111" s="221" t="str">
        <f t="shared" si="4"/>
        <v>343</v>
      </c>
      <c r="B111" s="218">
        <v>3431000000</v>
      </c>
      <c r="C111" s="220">
        <v>0</v>
      </c>
      <c r="D111" s="220">
        <v>21854.42</v>
      </c>
      <c r="E111" s="220">
        <v>0</v>
      </c>
      <c r="F111" s="220">
        <v>195137.1</v>
      </c>
      <c r="G111" s="220">
        <v>0</v>
      </c>
      <c r="H111" s="222">
        <v>195137.1</v>
      </c>
      <c r="I111" s="217" t="s">
        <v>1008</v>
      </c>
      <c r="J111" s="246">
        <f>VLOOKUP(B111,'HK 20.2.2014'!B:I,8,0)</f>
        <v>195137.1</v>
      </c>
      <c r="K111" s="224">
        <f t="shared" si="3"/>
        <v>0</v>
      </c>
    </row>
    <row r="112" spans="1:11">
      <c r="A112" s="221" t="str">
        <f t="shared" si="4"/>
        <v>343</v>
      </c>
      <c r="B112" s="218">
        <v>3431300000</v>
      </c>
      <c r="C112" s="220">
        <v>0</v>
      </c>
      <c r="D112" s="220">
        <v>2464.7199999999998</v>
      </c>
      <c r="E112" s="220">
        <v>0</v>
      </c>
      <c r="F112" s="220">
        <v>42081.33</v>
      </c>
      <c r="G112" s="220">
        <v>0</v>
      </c>
      <c r="H112" s="222">
        <v>42081.33</v>
      </c>
      <c r="I112" s="217" t="s">
        <v>1009</v>
      </c>
      <c r="J112" s="246">
        <f>VLOOKUP(B112,'HK 20.2.2014'!B:I,8,0)</f>
        <v>42081.33</v>
      </c>
      <c r="K112" s="224">
        <f t="shared" si="3"/>
        <v>0</v>
      </c>
    </row>
    <row r="113" spans="1:11">
      <c r="A113" s="221" t="str">
        <f t="shared" si="4"/>
        <v>343</v>
      </c>
      <c r="B113" s="218">
        <v>3431800000</v>
      </c>
      <c r="C113" s="220">
        <v>0</v>
      </c>
      <c r="D113" s="220">
        <v>20324.61</v>
      </c>
      <c r="E113" s="220">
        <v>0</v>
      </c>
      <c r="F113" s="220">
        <v>176780.68</v>
      </c>
      <c r="G113" s="220">
        <v>0</v>
      </c>
      <c r="H113" s="222">
        <v>176780.68</v>
      </c>
      <c r="I113" s="217" t="s">
        <v>1010</v>
      </c>
      <c r="J113" s="246">
        <f>VLOOKUP(B113,'HK 20.2.2014'!B:I,8,0)</f>
        <v>176780.68</v>
      </c>
      <c r="K113" s="224">
        <f t="shared" si="3"/>
        <v>0</v>
      </c>
    </row>
    <row r="114" spans="1:11">
      <c r="A114" s="221" t="str">
        <f t="shared" si="4"/>
        <v>343</v>
      </c>
      <c r="B114" s="218">
        <v>3431900000</v>
      </c>
      <c r="C114" s="220">
        <v>0</v>
      </c>
      <c r="D114" s="220">
        <v>0</v>
      </c>
      <c r="E114" s="220">
        <v>20324.61</v>
      </c>
      <c r="F114" s="220">
        <v>0</v>
      </c>
      <c r="G114" s="220">
        <v>176780.68</v>
      </c>
      <c r="H114" s="222">
        <v>-176780.68</v>
      </c>
      <c r="I114" s="217" t="s">
        <v>1011</v>
      </c>
      <c r="J114" s="246">
        <f>VLOOKUP(B114,'HK 20.2.2014'!B:I,8,0)</f>
        <v>-176780.68</v>
      </c>
      <c r="K114" s="224">
        <f t="shared" si="3"/>
        <v>0</v>
      </c>
    </row>
    <row r="115" spans="1:11">
      <c r="A115" s="221" t="str">
        <f t="shared" si="4"/>
        <v>343</v>
      </c>
      <c r="B115" s="218">
        <v>3432000000</v>
      </c>
      <c r="C115" s="220">
        <v>0</v>
      </c>
      <c r="D115" s="220">
        <v>0</v>
      </c>
      <c r="E115" s="220">
        <v>2464.7199999999998</v>
      </c>
      <c r="F115" s="220">
        <v>0</v>
      </c>
      <c r="G115" s="220">
        <v>42081.33</v>
      </c>
      <c r="H115" s="222">
        <v>-42081.33</v>
      </c>
      <c r="I115" s="217" t="s">
        <v>1012</v>
      </c>
      <c r="J115" s="246">
        <f>VLOOKUP(B115,'HK 20.2.2014'!B:I,8,0)</f>
        <v>-42081.33</v>
      </c>
      <c r="K115" s="224">
        <f t="shared" si="3"/>
        <v>0</v>
      </c>
    </row>
    <row r="116" spans="1:11">
      <c r="A116" s="221" t="str">
        <f t="shared" si="4"/>
        <v>343</v>
      </c>
      <c r="B116" s="218">
        <v>3432200000</v>
      </c>
      <c r="C116" s="220">
        <v>0</v>
      </c>
      <c r="D116" s="220">
        <v>1900.86</v>
      </c>
      <c r="E116" s="220">
        <v>0</v>
      </c>
      <c r="F116" s="220">
        <v>1900.86</v>
      </c>
      <c r="G116" s="220">
        <v>0</v>
      </c>
      <c r="H116" s="222">
        <v>1900.86</v>
      </c>
      <c r="I116" s="217" t="s">
        <v>1207</v>
      </c>
      <c r="J116" s="246">
        <f>VLOOKUP(B116,'HK 20.2.2014'!B:I,8,0)</f>
        <v>1900.86</v>
      </c>
      <c r="K116" s="224">
        <f t="shared" si="3"/>
        <v>0</v>
      </c>
    </row>
    <row r="117" spans="1:11">
      <c r="A117" s="221" t="str">
        <f t="shared" si="4"/>
        <v>343</v>
      </c>
      <c r="B117" s="218">
        <v>3432230000</v>
      </c>
      <c r="C117" s="220">
        <v>0</v>
      </c>
      <c r="D117" s="220">
        <v>0</v>
      </c>
      <c r="E117" s="220">
        <v>1900.86</v>
      </c>
      <c r="F117" s="220">
        <v>0</v>
      </c>
      <c r="G117" s="220">
        <v>1900.86</v>
      </c>
      <c r="H117" s="222">
        <v>-1900.86</v>
      </c>
      <c r="I117" s="217" t="s">
        <v>1208</v>
      </c>
      <c r="J117" s="246">
        <f>VLOOKUP(B117,'HK 20.2.2014'!B:I,8,0)</f>
        <v>-1900.86</v>
      </c>
      <c r="K117" s="224">
        <f t="shared" si="3"/>
        <v>0</v>
      </c>
    </row>
    <row r="118" spans="1:11">
      <c r="A118" s="221" t="str">
        <f t="shared" si="4"/>
        <v>343</v>
      </c>
      <c r="B118" s="218">
        <v>3432400000</v>
      </c>
      <c r="C118" s="220">
        <v>0</v>
      </c>
      <c r="D118" s="220">
        <v>0</v>
      </c>
      <c r="E118" s="220">
        <v>2835.77</v>
      </c>
      <c r="F118" s="220">
        <v>0</v>
      </c>
      <c r="G118" s="220">
        <v>27862.63</v>
      </c>
      <c r="H118" s="222">
        <v>-27862.63</v>
      </c>
      <c r="I118" s="217" t="s">
        <v>1013</v>
      </c>
      <c r="J118" s="246">
        <f>VLOOKUP(B118,'HK 20.2.2014'!B:I,8,0)</f>
        <v>-27862.63</v>
      </c>
      <c r="K118" s="224">
        <f t="shared" si="3"/>
        <v>0</v>
      </c>
    </row>
    <row r="119" spans="1:11">
      <c r="A119" s="221" t="str">
        <f t="shared" si="4"/>
        <v>343</v>
      </c>
      <c r="B119" s="218">
        <v>3432500000</v>
      </c>
      <c r="C119" s="220">
        <v>0</v>
      </c>
      <c r="D119" s="220">
        <v>318.47000000000003</v>
      </c>
      <c r="E119" s="220">
        <v>0</v>
      </c>
      <c r="F119" s="220">
        <v>28027.66</v>
      </c>
      <c r="G119" s="220">
        <v>0</v>
      </c>
      <c r="H119" s="222">
        <v>28027.66</v>
      </c>
      <c r="I119" s="217" t="s">
        <v>1014</v>
      </c>
      <c r="J119" s="246">
        <f>VLOOKUP(B119,'HK 20.2.2014'!B:I,8,0)</f>
        <v>28027.66</v>
      </c>
      <c r="K119" s="224">
        <f t="shared" si="3"/>
        <v>0</v>
      </c>
    </row>
    <row r="120" spans="1:11">
      <c r="A120" s="221" t="str">
        <f t="shared" si="4"/>
        <v>343</v>
      </c>
      <c r="B120" s="218">
        <v>3432600000</v>
      </c>
      <c r="C120" s="220">
        <v>0</v>
      </c>
      <c r="D120" s="220">
        <v>0</v>
      </c>
      <c r="E120" s="220">
        <v>0</v>
      </c>
      <c r="F120" s="220">
        <v>2236.86</v>
      </c>
      <c r="G120" s="220">
        <v>0</v>
      </c>
      <c r="H120" s="222">
        <v>2236.86</v>
      </c>
      <c r="I120" s="217" t="s">
        <v>1015</v>
      </c>
      <c r="J120" s="246">
        <f>VLOOKUP(B120,'HK 20.2.2014'!B:I,8,0)</f>
        <v>2236.86</v>
      </c>
      <c r="K120" s="224">
        <f t="shared" si="3"/>
        <v>0</v>
      </c>
    </row>
    <row r="121" spans="1:11">
      <c r="A121" s="221" t="str">
        <f t="shared" si="4"/>
        <v>343</v>
      </c>
      <c r="B121" s="218">
        <v>3432700000</v>
      </c>
      <c r="C121" s="220">
        <v>0</v>
      </c>
      <c r="D121" s="220">
        <v>0</v>
      </c>
      <c r="E121" s="220">
        <v>0</v>
      </c>
      <c r="F121" s="220">
        <v>0</v>
      </c>
      <c r="G121" s="220">
        <v>2236.86</v>
      </c>
      <c r="H121" s="222">
        <v>-2236.86</v>
      </c>
      <c r="I121" s="217" t="s">
        <v>1016</v>
      </c>
      <c r="J121" s="246">
        <f>VLOOKUP(B121,'HK 20.2.2014'!B:I,8,0)</f>
        <v>-2236.86</v>
      </c>
      <c r="K121" s="224">
        <f t="shared" si="3"/>
        <v>0</v>
      </c>
    </row>
    <row r="122" spans="1:11">
      <c r="A122" s="221" t="str">
        <f t="shared" si="4"/>
        <v>343</v>
      </c>
      <c r="B122" s="218">
        <v>3436000000</v>
      </c>
      <c r="C122" s="220">
        <v>-3000.8</v>
      </c>
      <c r="D122" s="220">
        <v>0</v>
      </c>
      <c r="E122" s="220">
        <v>0</v>
      </c>
      <c r="F122" s="220">
        <v>0</v>
      </c>
      <c r="G122" s="220">
        <v>0</v>
      </c>
      <c r="H122" s="222">
        <v>-3000.8</v>
      </c>
      <c r="I122" s="217" t="s">
        <v>1017</v>
      </c>
      <c r="J122" s="246">
        <f>VLOOKUP(B122,'HK 20.2.2014'!B:I,8,0)</f>
        <v>-3000.8</v>
      </c>
      <c r="K122" s="224">
        <f t="shared" si="3"/>
        <v>0</v>
      </c>
    </row>
    <row r="123" spans="1:11">
      <c r="A123" s="221" t="str">
        <f t="shared" si="4"/>
        <v>343</v>
      </c>
      <c r="B123" s="218">
        <v>3437000000</v>
      </c>
      <c r="C123" s="220">
        <v>0</v>
      </c>
      <c r="D123" s="220">
        <v>24690.19</v>
      </c>
      <c r="E123" s="220">
        <v>24690.19</v>
      </c>
      <c r="F123" s="220">
        <v>222999.73</v>
      </c>
      <c r="G123" s="220">
        <v>222999.73</v>
      </c>
      <c r="H123" s="222">
        <v>0</v>
      </c>
      <c r="I123" s="217" t="s">
        <v>1018</v>
      </c>
      <c r="J123" s="246">
        <f>VLOOKUP(B123,'HK 20.2.2014'!B:I,8,0)</f>
        <v>0</v>
      </c>
      <c r="K123" s="224">
        <f t="shared" si="3"/>
        <v>0</v>
      </c>
    </row>
    <row r="124" spans="1:11">
      <c r="A124" s="221" t="str">
        <f t="shared" si="4"/>
        <v>343</v>
      </c>
      <c r="B124" s="218">
        <v>3438000000</v>
      </c>
      <c r="C124" s="220">
        <v>0</v>
      </c>
      <c r="D124" s="220">
        <v>0</v>
      </c>
      <c r="E124" s="220">
        <v>21854.42</v>
      </c>
      <c r="F124" s="220">
        <v>0</v>
      </c>
      <c r="G124" s="220">
        <v>195137.1</v>
      </c>
      <c r="H124" s="222">
        <v>-195137.1</v>
      </c>
      <c r="I124" s="217" t="s">
        <v>1019</v>
      </c>
      <c r="J124" s="246">
        <f>VLOOKUP(B124,'HK 20.2.2014'!B:I,8,0)</f>
        <v>-195137.1</v>
      </c>
      <c r="K124" s="224">
        <f t="shared" si="3"/>
        <v>0</v>
      </c>
    </row>
    <row r="125" spans="1:11">
      <c r="A125" s="221" t="str">
        <f t="shared" si="4"/>
        <v>345</v>
      </c>
      <c r="B125" s="218">
        <v>3451000000</v>
      </c>
      <c r="C125" s="220">
        <v>-150</v>
      </c>
      <c r="D125" s="220">
        <v>0</v>
      </c>
      <c r="E125" s="220">
        <v>80.540000000000006</v>
      </c>
      <c r="F125" s="220">
        <v>150</v>
      </c>
      <c r="G125" s="220">
        <v>80.540000000000006</v>
      </c>
      <c r="H125" s="222">
        <v>-80.540000000000006</v>
      </c>
      <c r="I125" s="217" t="s">
        <v>1209</v>
      </c>
      <c r="J125" s="246">
        <f>VLOOKUP(B125,'HK 20.2.2014'!B:I,8,0)</f>
        <v>-80.540000000000006</v>
      </c>
      <c r="K125" s="224">
        <f t="shared" si="3"/>
        <v>0</v>
      </c>
    </row>
    <row r="126" spans="1:11">
      <c r="A126" s="221" t="str">
        <f t="shared" si="4"/>
        <v>378</v>
      </c>
      <c r="B126" s="218">
        <v>3781000000</v>
      </c>
      <c r="C126" s="220">
        <v>0</v>
      </c>
      <c r="D126" s="220">
        <v>397777.38</v>
      </c>
      <c r="E126" s="220">
        <v>541343.18000000005</v>
      </c>
      <c r="F126" s="220">
        <v>3766837.97</v>
      </c>
      <c r="G126" s="220">
        <v>4368432.0599999996</v>
      </c>
      <c r="H126" s="222">
        <v>-601594.09</v>
      </c>
      <c r="I126" s="217" t="s">
        <v>1020</v>
      </c>
      <c r="J126" s="246">
        <f>VLOOKUP(B126,'HK 20.2.2014'!B:I,8,0)</f>
        <v>-601594.09</v>
      </c>
      <c r="K126" s="224">
        <f t="shared" si="3"/>
        <v>0</v>
      </c>
    </row>
    <row r="127" spans="1:11">
      <c r="A127" s="221" t="str">
        <f t="shared" si="4"/>
        <v>378</v>
      </c>
      <c r="B127" s="218">
        <v>3782000000</v>
      </c>
      <c r="C127" s="220">
        <v>0</v>
      </c>
      <c r="D127" s="220">
        <v>2000</v>
      </c>
      <c r="E127" s="220">
        <v>0</v>
      </c>
      <c r="F127" s="220">
        <v>2000</v>
      </c>
      <c r="G127" s="220">
        <v>0</v>
      </c>
      <c r="H127" s="222">
        <v>2000</v>
      </c>
      <c r="I127" s="217" t="s">
        <v>1021</v>
      </c>
      <c r="J127" s="246">
        <f>VLOOKUP(B127,'HK 20.2.2014'!B:I,8,0)</f>
        <v>2000</v>
      </c>
      <c r="K127" s="224">
        <f t="shared" si="3"/>
        <v>0</v>
      </c>
    </row>
    <row r="128" spans="1:11">
      <c r="A128" s="221" t="str">
        <f t="shared" si="4"/>
        <v>378</v>
      </c>
      <c r="B128" s="218">
        <v>3783000000</v>
      </c>
      <c r="C128" s="220">
        <v>0</v>
      </c>
      <c r="D128" s="220">
        <v>7690</v>
      </c>
      <c r="E128" s="220">
        <v>0</v>
      </c>
      <c r="F128" s="220">
        <v>13891</v>
      </c>
      <c r="G128" s="220">
        <v>6201</v>
      </c>
      <c r="H128" s="222">
        <v>7690</v>
      </c>
      <c r="I128" s="217" t="s">
        <v>1210</v>
      </c>
      <c r="J128" s="246">
        <f>VLOOKUP(B128,'HK 20.2.2014'!B:I,8,0)</f>
        <v>7690</v>
      </c>
      <c r="K128" s="224">
        <f t="shared" si="3"/>
        <v>0</v>
      </c>
    </row>
    <row r="129" spans="1:11">
      <c r="A129" s="221" t="str">
        <f t="shared" si="4"/>
        <v>379</v>
      </c>
      <c r="B129" s="218">
        <v>3791000000</v>
      </c>
      <c r="C129" s="220">
        <v>-1315.73</v>
      </c>
      <c r="D129" s="220">
        <v>640.35</v>
      </c>
      <c r="E129" s="220">
        <v>1358.75</v>
      </c>
      <c r="F129" s="220">
        <v>9238.3700000000008</v>
      </c>
      <c r="G129" s="220">
        <v>9281.39</v>
      </c>
      <c r="H129" s="222">
        <v>-1358.75</v>
      </c>
      <c r="I129" s="217" t="s">
        <v>1211</v>
      </c>
      <c r="J129" s="246">
        <f>VLOOKUP(B129,'HK 20.2.2014'!B:I,8,0)</f>
        <v>-1358.75</v>
      </c>
      <c r="K129" s="224">
        <f t="shared" si="3"/>
        <v>0</v>
      </c>
    </row>
    <row r="130" spans="1:11">
      <c r="A130" s="221" t="str">
        <f t="shared" si="4"/>
        <v>379</v>
      </c>
      <c r="B130" s="218">
        <v>3792000000</v>
      </c>
      <c r="C130" s="220">
        <v>-306942.90999999997</v>
      </c>
      <c r="D130" s="220">
        <v>0</v>
      </c>
      <c r="E130" s="220">
        <v>0</v>
      </c>
      <c r="F130" s="220">
        <v>0</v>
      </c>
      <c r="G130" s="220">
        <v>0</v>
      </c>
      <c r="H130" s="222">
        <v>-306942.90999999997</v>
      </c>
      <c r="I130" s="217" t="s">
        <v>1022</v>
      </c>
      <c r="J130" s="246">
        <f>VLOOKUP(B130,'HK 20.2.2014'!B:I,8,0)</f>
        <v>-306942.90999999997</v>
      </c>
      <c r="K130" s="224">
        <f t="shared" ref="K130:K193" si="5">J130-H130</f>
        <v>0</v>
      </c>
    </row>
    <row r="131" spans="1:11">
      <c r="A131" s="221" t="str">
        <f t="shared" si="4"/>
        <v>379</v>
      </c>
      <c r="B131" s="218">
        <v>3794000000</v>
      </c>
      <c r="C131" s="220">
        <v>0</v>
      </c>
      <c r="D131" s="220">
        <v>318.47000000000003</v>
      </c>
      <c r="E131" s="220">
        <v>318.47000000000003</v>
      </c>
      <c r="F131" s="220">
        <v>30264.52</v>
      </c>
      <c r="G131" s="220">
        <v>30264.52</v>
      </c>
      <c r="H131" s="222">
        <v>0</v>
      </c>
      <c r="I131" s="217" t="s">
        <v>1023</v>
      </c>
      <c r="J131" s="246">
        <f>VLOOKUP(B131,'HK 20.2.2014'!B:I,8,0)</f>
        <v>0</v>
      </c>
      <c r="K131" s="224">
        <f t="shared" si="5"/>
        <v>0</v>
      </c>
    </row>
    <row r="132" spans="1:11">
      <c r="A132" s="221" t="str">
        <f t="shared" si="4"/>
        <v>381</v>
      </c>
      <c r="B132" s="218">
        <v>3811000000</v>
      </c>
      <c r="C132" s="220">
        <v>4669.2299999999996</v>
      </c>
      <c r="D132" s="220">
        <v>315.48</v>
      </c>
      <c r="E132" s="220">
        <v>0</v>
      </c>
      <c r="F132" s="220">
        <v>2624.63</v>
      </c>
      <c r="G132" s="220">
        <v>4669.2299999999996</v>
      </c>
      <c r="H132" s="222">
        <v>2624.63</v>
      </c>
      <c r="I132" s="217" t="s">
        <v>1024</v>
      </c>
      <c r="J132" s="246">
        <f>VLOOKUP(B132,'HK 20.2.2014'!B:I,8,0)</f>
        <v>2624.63</v>
      </c>
      <c r="K132" s="224">
        <f t="shared" si="5"/>
        <v>0</v>
      </c>
    </row>
    <row r="133" spans="1:11">
      <c r="A133" s="221" t="str">
        <f t="shared" si="4"/>
        <v>383</v>
      </c>
      <c r="B133" s="218">
        <v>3831000000</v>
      </c>
      <c r="C133" s="220">
        <v>0</v>
      </c>
      <c r="D133" s="220">
        <v>0</v>
      </c>
      <c r="E133" s="220">
        <v>763.95</v>
      </c>
      <c r="F133" s="220">
        <v>0</v>
      </c>
      <c r="G133" s="220">
        <v>763.95</v>
      </c>
      <c r="H133" s="222">
        <v>-763.95</v>
      </c>
      <c r="I133" s="217" t="s">
        <v>1025</v>
      </c>
      <c r="J133" s="246">
        <f>VLOOKUP(B133,'HK 20.2.2014'!B:I,8,0)</f>
        <v>-2212.0100000000002</v>
      </c>
      <c r="K133" s="224">
        <f t="shared" si="5"/>
        <v>-1448.0600000000002</v>
      </c>
    </row>
    <row r="134" spans="1:11">
      <c r="A134" s="221" t="str">
        <f t="shared" si="4"/>
        <v>384</v>
      </c>
      <c r="B134" s="218">
        <v>3841000000</v>
      </c>
      <c r="C134" s="220">
        <v>-2999.84</v>
      </c>
      <c r="D134" s="220">
        <v>666.06</v>
      </c>
      <c r="E134" s="220">
        <v>21813.759999999998</v>
      </c>
      <c r="F134" s="220">
        <v>2943.03</v>
      </c>
      <c r="G134" s="220">
        <v>28053.759999999998</v>
      </c>
      <c r="H134" s="222">
        <v>-28110.57</v>
      </c>
      <c r="I134" s="217" t="s">
        <v>1026</v>
      </c>
      <c r="J134" s="246">
        <f>VLOOKUP(B134,'HK 20.2.2014'!B:I,8,0)</f>
        <v>-28110.57</v>
      </c>
      <c r="K134" s="224">
        <f t="shared" si="5"/>
        <v>0</v>
      </c>
    </row>
    <row r="135" spans="1:11">
      <c r="A135" s="221" t="str">
        <f t="shared" si="4"/>
        <v>384</v>
      </c>
      <c r="B135" s="218">
        <v>3842000000</v>
      </c>
      <c r="C135" s="220">
        <v>-422.76</v>
      </c>
      <c r="D135" s="220">
        <v>422.76</v>
      </c>
      <c r="E135" s="220">
        <v>0</v>
      </c>
      <c r="F135" s="220">
        <v>422.76</v>
      </c>
      <c r="G135" s="220">
        <v>0</v>
      </c>
      <c r="H135" s="222">
        <v>0</v>
      </c>
      <c r="I135" s="217" t="s">
        <v>1027</v>
      </c>
      <c r="J135" s="246">
        <f>VLOOKUP(B135,'HK 20.2.2014'!B:I,8,0)</f>
        <v>0</v>
      </c>
      <c r="K135" s="224">
        <f t="shared" si="5"/>
        <v>0</v>
      </c>
    </row>
    <row r="136" spans="1:11">
      <c r="A136" s="221" t="str">
        <f t="shared" si="4"/>
        <v>384</v>
      </c>
      <c r="B136" s="218">
        <v>3844000000</v>
      </c>
      <c r="C136" s="220">
        <v>0</v>
      </c>
      <c r="D136" s="220">
        <v>412.86</v>
      </c>
      <c r="E136" s="220">
        <v>1233.76</v>
      </c>
      <c r="F136" s="220">
        <v>4927.8100000000004</v>
      </c>
      <c r="G136" s="220">
        <v>4927.8100000000004</v>
      </c>
      <c r="H136" s="222">
        <v>0</v>
      </c>
      <c r="I136" s="217" t="s">
        <v>1028</v>
      </c>
      <c r="J136" s="246">
        <f>VLOOKUP(B136,'HK 20.2.2014'!B:I,8,0)</f>
        <v>0</v>
      </c>
      <c r="K136" s="224">
        <f t="shared" si="5"/>
        <v>0</v>
      </c>
    </row>
    <row r="137" spans="1:11">
      <c r="A137" s="221" t="str">
        <f t="shared" si="4"/>
        <v>384</v>
      </c>
      <c r="B137" s="218">
        <v>3845000000</v>
      </c>
      <c r="C137" s="220">
        <v>-36419.769999999997</v>
      </c>
      <c r="D137" s="220">
        <v>552.12</v>
      </c>
      <c r="E137" s="220">
        <v>1200</v>
      </c>
      <c r="F137" s="220">
        <v>6441.85</v>
      </c>
      <c r="G137" s="220">
        <v>1200</v>
      </c>
      <c r="H137" s="222">
        <v>-31177.919999999998</v>
      </c>
      <c r="I137" s="217" t="s">
        <v>1029</v>
      </c>
      <c r="J137" s="246">
        <f>VLOOKUP(B137,'HK 20.2.2014'!B:I,8,0)</f>
        <v>-31177.919999999998</v>
      </c>
      <c r="K137" s="224">
        <f t="shared" si="5"/>
        <v>0</v>
      </c>
    </row>
    <row r="138" spans="1:11">
      <c r="A138" s="221" t="str">
        <f t="shared" si="4"/>
        <v>391</v>
      </c>
      <c r="B138" s="218">
        <v>3911200000</v>
      </c>
      <c r="C138" s="220">
        <v>-5685.26</v>
      </c>
      <c r="D138" s="220">
        <v>3344.26</v>
      </c>
      <c r="E138" s="220">
        <v>0</v>
      </c>
      <c r="F138" s="220">
        <v>3344.26</v>
      </c>
      <c r="G138" s="220">
        <v>0</v>
      </c>
      <c r="H138" s="222">
        <v>-2341</v>
      </c>
      <c r="I138" s="217" t="s">
        <v>1030</v>
      </c>
      <c r="J138" s="246">
        <f>VLOOKUP(B138,'HK 20.2.2014'!B:I,8,0)</f>
        <v>-2341</v>
      </c>
      <c r="K138" s="224">
        <f t="shared" si="5"/>
        <v>0</v>
      </c>
    </row>
    <row r="139" spans="1:11">
      <c r="A139" s="221" t="str">
        <f t="shared" si="4"/>
        <v>395</v>
      </c>
      <c r="B139" s="218">
        <v>3951000000</v>
      </c>
      <c r="C139" s="220">
        <v>0</v>
      </c>
      <c r="D139" s="220">
        <v>47.44</v>
      </c>
      <c r="E139" s="220">
        <v>47.44</v>
      </c>
      <c r="F139" s="220">
        <v>-120094.71</v>
      </c>
      <c r="G139" s="220">
        <v>-120094.71</v>
      </c>
      <c r="H139" s="222">
        <v>0</v>
      </c>
      <c r="I139" s="217" t="s">
        <v>1031</v>
      </c>
      <c r="J139" s="246">
        <f>VLOOKUP(B139,'HK 20.2.2014'!B:I,8,0)</f>
        <v>0</v>
      </c>
      <c r="K139" s="224">
        <f t="shared" si="5"/>
        <v>0</v>
      </c>
    </row>
    <row r="140" spans="1:11">
      <c r="A140" s="221" t="str">
        <f t="shared" si="4"/>
        <v>411</v>
      </c>
      <c r="B140" s="218">
        <v>4111000000</v>
      </c>
      <c r="C140" s="220">
        <v>-663.87</v>
      </c>
      <c r="D140" s="220">
        <v>0</v>
      </c>
      <c r="E140" s="220">
        <v>0</v>
      </c>
      <c r="F140" s="220">
        <v>0</v>
      </c>
      <c r="G140" s="220">
        <v>0</v>
      </c>
      <c r="H140" s="222">
        <v>-663.87</v>
      </c>
      <c r="I140" s="217" t="s">
        <v>492</v>
      </c>
      <c r="J140" s="246">
        <f>VLOOKUP(B140,'HK 20.2.2014'!B:I,8,0)</f>
        <v>-663.87</v>
      </c>
      <c r="K140" s="224">
        <f t="shared" si="5"/>
        <v>0</v>
      </c>
    </row>
    <row r="141" spans="1:11">
      <c r="A141" s="221" t="str">
        <f t="shared" si="4"/>
        <v>427</v>
      </c>
      <c r="B141" s="218">
        <v>4271000000</v>
      </c>
      <c r="C141" s="220">
        <v>-17624.310000000001</v>
      </c>
      <c r="D141" s="220">
        <v>0</v>
      </c>
      <c r="E141" s="220">
        <v>0</v>
      </c>
      <c r="F141" s="220">
        <v>0</v>
      </c>
      <c r="G141" s="220">
        <v>0</v>
      </c>
      <c r="H141" s="222">
        <v>-17624.310000000001</v>
      </c>
      <c r="I141" s="217" t="s">
        <v>1032</v>
      </c>
      <c r="J141" s="246">
        <f>VLOOKUP(B141,'HK 20.2.2014'!B:I,8,0)</f>
        <v>-17624.310000000001</v>
      </c>
      <c r="K141" s="224">
        <f t="shared" si="5"/>
        <v>0</v>
      </c>
    </row>
    <row r="142" spans="1:11">
      <c r="A142" s="221" t="str">
        <f t="shared" si="4"/>
        <v>427</v>
      </c>
      <c r="B142" s="218">
        <v>4271190000</v>
      </c>
      <c r="C142" s="220">
        <v>0</v>
      </c>
      <c r="D142" s="220">
        <v>0</v>
      </c>
      <c r="E142" s="220">
        <v>6690</v>
      </c>
      <c r="F142" s="220">
        <v>0</v>
      </c>
      <c r="G142" s="220">
        <v>12891</v>
      </c>
      <c r="H142" s="222">
        <v>-12891</v>
      </c>
      <c r="I142" s="217" t="s">
        <v>1212</v>
      </c>
      <c r="J142" s="246">
        <f>VLOOKUP(B142,'HK 20.2.2014'!B:I,8,0)</f>
        <v>-12891</v>
      </c>
      <c r="K142" s="224">
        <f t="shared" si="5"/>
        <v>0</v>
      </c>
    </row>
    <row r="143" spans="1:11">
      <c r="A143" s="221" t="str">
        <f t="shared" si="4"/>
        <v>427</v>
      </c>
      <c r="B143" s="218">
        <v>4272190000</v>
      </c>
      <c r="C143" s="220">
        <v>0</v>
      </c>
      <c r="D143" s="220">
        <v>6690</v>
      </c>
      <c r="E143" s="220">
        <v>0</v>
      </c>
      <c r="F143" s="220">
        <v>12891</v>
      </c>
      <c r="G143" s="220">
        <v>0</v>
      </c>
      <c r="H143" s="222">
        <v>12891</v>
      </c>
      <c r="I143" s="217" t="s">
        <v>1212</v>
      </c>
      <c r="J143" s="246">
        <f>VLOOKUP(B143,'HK 20.2.2014'!B:I,8,0)</f>
        <v>12891</v>
      </c>
      <c r="K143" s="224">
        <f t="shared" si="5"/>
        <v>0</v>
      </c>
    </row>
    <row r="144" spans="1:11">
      <c r="A144" s="221" t="str">
        <f t="shared" si="4"/>
        <v>428</v>
      </c>
      <c r="B144" s="218">
        <v>4281000000</v>
      </c>
      <c r="C144" s="220">
        <v>404614.66</v>
      </c>
      <c r="D144" s="220">
        <v>180120.2</v>
      </c>
      <c r="E144" s="220">
        <v>0</v>
      </c>
      <c r="F144" s="220">
        <v>192504.9</v>
      </c>
      <c r="G144" s="220">
        <v>0</v>
      </c>
      <c r="H144" s="222">
        <v>597119.56000000006</v>
      </c>
      <c r="I144" s="217" t="s">
        <v>1033</v>
      </c>
      <c r="J144" s="246">
        <f>VLOOKUP(B144,'HK 20.2.2014'!B:I,8,0)</f>
        <v>597119.56000000006</v>
      </c>
      <c r="K144" s="224">
        <f t="shared" si="5"/>
        <v>0</v>
      </c>
    </row>
    <row r="145" spans="1:11">
      <c r="A145" s="221" t="str">
        <f t="shared" si="4"/>
        <v>431</v>
      </c>
      <c r="B145" s="218">
        <v>4311000000</v>
      </c>
      <c r="C145" s="220">
        <v>180120.2</v>
      </c>
      <c r="D145" s="220">
        <v>0</v>
      </c>
      <c r="E145" s="220">
        <v>180120.2</v>
      </c>
      <c r="F145" s="220">
        <v>0</v>
      </c>
      <c r="G145" s="220">
        <v>180120.2</v>
      </c>
      <c r="H145" s="222">
        <v>0</v>
      </c>
      <c r="I145" s="217" t="s">
        <v>1034</v>
      </c>
      <c r="J145" s="246">
        <f>VLOOKUP(B145,'HK 20.2.2014'!B:I,8,0)</f>
        <v>0</v>
      </c>
      <c r="K145" s="224">
        <f t="shared" si="5"/>
        <v>0</v>
      </c>
    </row>
    <row r="146" spans="1:11">
      <c r="A146" s="221" t="str">
        <f t="shared" si="4"/>
        <v>472</v>
      </c>
      <c r="B146" s="218">
        <v>4721100000</v>
      </c>
      <c r="C146" s="220">
        <v>-39557.72</v>
      </c>
      <c r="D146" s="220">
        <v>0</v>
      </c>
      <c r="E146" s="220">
        <v>0</v>
      </c>
      <c r="F146" s="220">
        <v>0</v>
      </c>
      <c r="G146" s="220">
        <v>0</v>
      </c>
      <c r="H146" s="222">
        <v>-39557.72</v>
      </c>
      <c r="I146" s="217" t="s">
        <v>1035</v>
      </c>
      <c r="J146" s="246">
        <f>VLOOKUP(B146,'HK 20.2.2014'!B:I,8,0)</f>
        <v>-39557.72</v>
      </c>
      <c r="K146" s="224">
        <f t="shared" si="5"/>
        <v>0</v>
      </c>
    </row>
    <row r="147" spans="1:11">
      <c r="A147" s="221" t="str">
        <f t="shared" si="4"/>
        <v>472</v>
      </c>
      <c r="B147" s="218">
        <v>4721200000</v>
      </c>
      <c r="C147" s="220">
        <v>0</v>
      </c>
      <c r="D147" s="220">
        <v>0</v>
      </c>
      <c r="E147" s="220">
        <v>1939.94</v>
      </c>
      <c r="F147" s="220">
        <v>0</v>
      </c>
      <c r="G147" s="220">
        <v>22328.09</v>
      </c>
      <c r="H147" s="222">
        <v>-22328.09</v>
      </c>
      <c r="I147" s="217" t="s">
        <v>1036</v>
      </c>
      <c r="J147" s="246">
        <f>VLOOKUP(B147,'HK 20.2.2014'!B:I,8,0)</f>
        <v>-22328.09</v>
      </c>
      <c r="K147" s="224">
        <f t="shared" si="5"/>
        <v>0</v>
      </c>
    </row>
    <row r="148" spans="1:11">
      <c r="A148" s="221" t="str">
        <f t="shared" si="4"/>
        <v>472</v>
      </c>
      <c r="B148" s="218">
        <v>4722110000</v>
      </c>
      <c r="C148" s="220">
        <v>0</v>
      </c>
      <c r="D148" s="220">
        <v>125</v>
      </c>
      <c r="E148" s="220">
        <v>0</v>
      </c>
      <c r="F148" s="220">
        <v>6768</v>
      </c>
      <c r="G148" s="220">
        <v>0</v>
      </c>
      <c r="H148" s="222">
        <v>6768</v>
      </c>
      <c r="I148" s="217" t="s">
        <v>1037</v>
      </c>
      <c r="J148" s="246">
        <f>VLOOKUP(B148,'HK 20.2.2014'!B:I,8,0)</f>
        <v>6768</v>
      </c>
      <c r="K148" s="224">
        <f t="shared" si="5"/>
        <v>0</v>
      </c>
    </row>
    <row r="149" spans="1:11">
      <c r="A149" s="221" t="str">
        <f t="shared" si="4"/>
        <v>472</v>
      </c>
      <c r="B149" s="218">
        <v>4722130000</v>
      </c>
      <c r="C149" s="220">
        <v>0</v>
      </c>
      <c r="D149" s="220">
        <v>0</v>
      </c>
      <c r="E149" s="220">
        <v>0</v>
      </c>
      <c r="F149" s="220">
        <v>1500</v>
      </c>
      <c r="G149" s="220">
        <v>0</v>
      </c>
      <c r="H149" s="222">
        <v>1500</v>
      </c>
      <c r="I149" s="217" t="s">
        <v>1038</v>
      </c>
      <c r="J149" s="246">
        <f>VLOOKUP(B149,'HK 20.2.2014'!B:I,8,0)</f>
        <v>1500</v>
      </c>
      <c r="K149" s="224">
        <f t="shared" si="5"/>
        <v>0</v>
      </c>
    </row>
    <row r="150" spans="1:11">
      <c r="A150" s="221" t="str">
        <f t="shared" si="4"/>
        <v>472</v>
      </c>
      <c r="B150" s="218">
        <v>4722140000</v>
      </c>
      <c r="C150" s="220">
        <v>0</v>
      </c>
      <c r="D150" s="220">
        <v>0</v>
      </c>
      <c r="E150" s="220">
        <v>0</v>
      </c>
      <c r="F150" s="220">
        <v>607.26</v>
      </c>
      <c r="G150" s="220">
        <v>0</v>
      </c>
      <c r="H150" s="222">
        <v>607.26</v>
      </c>
      <c r="I150" s="217" t="s">
        <v>1039</v>
      </c>
      <c r="J150" s="246">
        <f>VLOOKUP(B150,'HK 20.2.2014'!B:I,8,0)</f>
        <v>607.26</v>
      </c>
      <c r="K150" s="224">
        <f t="shared" si="5"/>
        <v>0</v>
      </c>
    </row>
    <row r="151" spans="1:11">
      <c r="A151" s="221" t="str">
        <f t="shared" si="4"/>
        <v>472</v>
      </c>
      <c r="B151" s="218">
        <v>4722220000</v>
      </c>
      <c r="C151" s="220">
        <v>0</v>
      </c>
      <c r="D151" s="220">
        <v>211.95</v>
      </c>
      <c r="E151" s="220">
        <v>0</v>
      </c>
      <c r="F151" s="220">
        <v>3041.25</v>
      </c>
      <c r="G151" s="220">
        <v>0</v>
      </c>
      <c r="H151" s="222">
        <v>3041.25</v>
      </c>
      <c r="I151" s="217" t="s">
        <v>1040</v>
      </c>
      <c r="J151" s="246">
        <f>VLOOKUP(B151,'HK 20.2.2014'!B:I,8,0)</f>
        <v>3041.25</v>
      </c>
      <c r="K151" s="224">
        <f t="shared" si="5"/>
        <v>0</v>
      </c>
    </row>
    <row r="152" spans="1:11">
      <c r="A152" s="221" t="str">
        <f t="shared" si="4"/>
        <v>472</v>
      </c>
      <c r="B152" s="218">
        <v>4722240000</v>
      </c>
      <c r="C152" s="220">
        <v>0</v>
      </c>
      <c r="D152" s="220">
        <v>0</v>
      </c>
      <c r="E152" s="220">
        <v>0</v>
      </c>
      <c r="F152" s="220">
        <v>0</v>
      </c>
      <c r="G152" s="220">
        <v>0</v>
      </c>
      <c r="H152" s="222">
        <v>0</v>
      </c>
      <c r="I152" s="217" t="s">
        <v>1041</v>
      </c>
      <c r="J152" s="246">
        <f>VLOOKUP(B152,'HK 20.2.2014'!B:I,8,0)</f>
        <v>0</v>
      </c>
      <c r="K152" s="224">
        <f t="shared" si="5"/>
        <v>0</v>
      </c>
    </row>
    <row r="153" spans="1:11">
      <c r="A153" s="221" t="str">
        <f t="shared" si="4"/>
        <v>472</v>
      </c>
      <c r="B153" s="218">
        <v>4722250000</v>
      </c>
      <c r="C153" s="220">
        <v>0</v>
      </c>
      <c r="D153" s="220">
        <v>0</v>
      </c>
      <c r="E153" s="220">
        <v>0</v>
      </c>
      <c r="F153" s="220">
        <v>503.63</v>
      </c>
      <c r="G153" s="220">
        <v>0</v>
      </c>
      <c r="H153" s="222">
        <v>503.63</v>
      </c>
      <c r="I153" s="217" t="s">
        <v>1042</v>
      </c>
      <c r="J153" s="246">
        <f>VLOOKUP(B153,'HK 20.2.2014'!B:I,8,0)</f>
        <v>503.63</v>
      </c>
      <c r="K153" s="224">
        <f t="shared" si="5"/>
        <v>0</v>
      </c>
    </row>
    <row r="154" spans="1:11">
      <c r="A154" s="221" t="str">
        <f t="shared" si="4"/>
        <v>472</v>
      </c>
      <c r="B154" s="218">
        <v>4722310000</v>
      </c>
      <c r="C154" s="220">
        <v>0</v>
      </c>
      <c r="D154" s="220">
        <v>0</v>
      </c>
      <c r="E154" s="220">
        <v>0</v>
      </c>
      <c r="F154" s="220">
        <v>700</v>
      </c>
      <c r="G154" s="220">
        <v>0</v>
      </c>
      <c r="H154" s="222">
        <v>700</v>
      </c>
      <c r="I154" s="217" t="s">
        <v>1043</v>
      </c>
      <c r="J154" s="246">
        <f>VLOOKUP(B154,'HK 20.2.2014'!B:I,8,0)</f>
        <v>700</v>
      </c>
      <c r="K154" s="224">
        <f t="shared" si="5"/>
        <v>0</v>
      </c>
    </row>
    <row r="155" spans="1:11">
      <c r="A155" s="221" t="str">
        <f t="shared" si="4"/>
        <v>472</v>
      </c>
      <c r="B155" s="218">
        <v>4722410000</v>
      </c>
      <c r="C155" s="220">
        <v>0</v>
      </c>
      <c r="D155" s="220">
        <v>0</v>
      </c>
      <c r="E155" s="220">
        <v>0</v>
      </c>
      <c r="F155" s="220">
        <v>13962.5</v>
      </c>
      <c r="G155" s="220">
        <v>0</v>
      </c>
      <c r="H155" s="222">
        <v>13962.5</v>
      </c>
      <c r="I155" s="217" t="s">
        <v>1044</v>
      </c>
      <c r="J155" s="246">
        <f>VLOOKUP(B155,'HK 20.2.2014'!B:I,8,0)</f>
        <v>13962.5</v>
      </c>
      <c r="K155" s="224">
        <f t="shared" si="5"/>
        <v>0</v>
      </c>
    </row>
    <row r="156" spans="1:11">
      <c r="A156" s="221" t="str">
        <f t="shared" si="4"/>
        <v>472</v>
      </c>
      <c r="B156" s="218">
        <v>4722420000</v>
      </c>
      <c r="C156" s="220">
        <v>0</v>
      </c>
      <c r="D156" s="220">
        <v>100</v>
      </c>
      <c r="E156" s="220">
        <v>0</v>
      </c>
      <c r="F156" s="220">
        <v>20160</v>
      </c>
      <c r="G156" s="220">
        <v>0</v>
      </c>
      <c r="H156" s="222">
        <v>20160</v>
      </c>
      <c r="I156" s="217" t="s">
        <v>1045</v>
      </c>
      <c r="J156" s="246">
        <f>VLOOKUP(B156,'HK 20.2.2014'!B:I,8,0)</f>
        <v>20160</v>
      </c>
      <c r="K156" s="224">
        <f t="shared" si="5"/>
        <v>0</v>
      </c>
    </row>
    <row r="157" spans="1:11">
      <c r="A157" s="221" t="str">
        <f t="shared" si="4"/>
        <v>472</v>
      </c>
      <c r="B157" s="218">
        <v>4722500000</v>
      </c>
      <c r="C157" s="220">
        <v>0</v>
      </c>
      <c r="D157" s="220">
        <v>270.95999999999998</v>
      </c>
      <c r="E157" s="220">
        <v>0</v>
      </c>
      <c r="F157" s="220">
        <v>2320.06</v>
      </c>
      <c r="G157" s="220">
        <v>0</v>
      </c>
      <c r="H157" s="222">
        <v>2320.06</v>
      </c>
      <c r="I157" s="217" t="s">
        <v>1046</v>
      </c>
      <c r="J157" s="246">
        <f>VLOOKUP(B157,'HK 20.2.2014'!B:I,8,0)</f>
        <v>2320.06</v>
      </c>
      <c r="K157" s="224">
        <f t="shared" si="5"/>
        <v>0</v>
      </c>
    </row>
    <row r="158" spans="1:11">
      <c r="A158" s="221" t="str">
        <f t="shared" si="4"/>
        <v>501</v>
      </c>
      <c r="B158" s="218">
        <v>5012110000</v>
      </c>
      <c r="C158" s="220">
        <v>0</v>
      </c>
      <c r="D158" s="220">
        <v>138</v>
      </c>
      <c r="E158" s="220">
        <v>0</v>
      </c>
      <c r="F158" s="220">
        <v>13366.32</v>
      </c>
      <c r="G158" s="220">
        <v>0</v>
      </c>
      <c r="H158" s="222">
        <v>13366.32</v>
      </c>
      <c r="I158" s="217" t="s">
        <v>1047</v>
      </c>
      <c r="J158" s="246">
        <f>VLOOKUP(B158,'HK 20.2.2014'!B:I,8,0)</f>
        <v>13366.32</v>
      </c>
      <c r="K158" s="224">
        <f t="shared" si="5"/>
        <v>0</v>
      </c>
    </row>
    <row r="159" spans="1:11">
      <c r="A159" s="221" t="str">
        <f t="shared" si="4"/>
        <v>501</v>
      </c>
      <c r="B159" s="218">
        <v>5012120000</v>
      </c>
      <c r="C159" s="220">
        <v>0</v>
      </c>
      <c r="D159" s="220">
        <v>363.64</v>
      </c>
      <c r="E159" s="220">
        <v>0</v>
      </c>
      <c r="F159" s="220">
        <v>4223.9399999999996</v>
      </c>
      <c r="G159" s="220">
        <v>0</v>
      </c>
      <c r="H159" s="222">
        <v>4223.9399999999996</v>
      </c>
      <c r="I159" s="217" t="s">
        <v>1048</v>
      </c>
      <c r="J159" s="246">
        <f>VLOOKUP(B159,'HK 20.2.2014'!B:I,8,0)</f>
        <v>4223.9399999999996</v>
      </c>
      <c r="K159" s="224">
        <f t="shared" si="5"/>
        <v>0</v>
      </c>
    </row>
    <row r="160" spans="1:11">
      <c r="A160" s="221" t="str">
        <f t="shared" si="4"/>
        <v>501</v>
      </c>
      <c r="B160" s="218">
        <v>5012210000</v>
      </c>
      <c r="C160" s="220">
        <v>0</v>
      </c>
      <c r="D160" s="220">
        <v>3992.35</v>
      </c>
      <c r="E160" s="220">
        <v>0</v>
      </c>
      <c r="F160" s="220">
        <v>46244.38</v>
      </c>
      <c r="G160" s="220">
        <v>0</v>
      </c>
      <c r="H160" s="222">
        <v>46244.38</v>
      </c>
      <c r="I160" s="217" t="s">
        <v>1049</v>
      </c>
      <c r="J160" s="246">
        <f>VLOOKUP(B160,'HK 20.2.2014'!B:I,8,0)</f>
        <v>46244.38</v>
      </c>
      <c r="K160" s="224">
        <f t="shared" si="5"/>
        <v>0</v>
      </c>
    </row>
    <row r="161" spans="1:11">
      <c r="A161" s="221" t="str">
        <f t="shared" si="4"/>
        <v>501</v>
      </c>
      <c r="B161" s="218">
        <v>5012220000</v>
      </c>
      <c r="C161" s="220">
        <v>0</v>
      </c>
      <c r="D161" s="220">
        <v>579.53</v>
      </c>
      <c r="E161" s="220">
        <v>0</v>
      </c>
      <c r="F161" s="220">
        <v>12088.27</v>
      </c>
      <c r="G161" s="220">
        <v>0</v>
      </c>
      <c r="H161" s="222">
        <v>12088.27</v>
      </c>
      <c r="I161" s="217" t="s">
        <v>1050</v>
      </c>
      <c r="J161" s="246">
        <f>VLOOKUP(B161,'HK 20.2.2014'!B:I,8,0)</f>
        <v>12088.27</v>
      </c>
      <c r="K161" s="224">
        <f t="shared" si="5"/>
        <v>0</v>
      </c>
    </row>
    <row r="162" spans="1:11">
      <c r="A162" s="221" t="str">
        <f t="shared" ref="A162:A225" si="6">LEFT(B162,3)</f>
        <v>501</v>
      </c>
      <c r="B162" s="218">
        <v>5012310000</v>
      </c>
      <c r="C162" s="220">
        <v>0</v>
      </c>
      <c r="D162" s="220">
        <v>0</v>
      </c>
      <c r="E162" s="220">
        <v>0</v>
      </c>
      <c r="F162" s="220">
        <v>175.47</v>
      </c>
      <c r="G162" s="220">
        <v>0</v>
      </c>
      <c r="H162" s="222">
        <v>175.47</v>
      </c>
      <c r="I162" s="217" t="s">
        <v>1051</v>
      </c>
      <c r="J162" s="246">
        <f>VLOOKUP(B162,'HK 20.2.2014'!B:I,8,0)</f>
        <v>175.47</v>
      </c>
      <c r="K162" s="224">
        <f t="shared" si="5"/>
        <v>0</v>
      </c>
    </row>
    <row r="163" spans="1:11">
      <c r="A163" s="221" t="str">
        <f t="shared" si="6"/>
        <v>501</v>
      </c>
      <c r="B163" s="218">
        <v>5012320000</v>
      </c>
      <c r="C163" s="220">
        <v>0</v>
      </c>
      <c r="D163" s="220">
        <v>0</v>
      </c>
      <c r="E163" s="220">
        <v>0</v>
      </c>
      <c r="F163" s="220">
        <v>20.93</v>
      </c>
      <c r="G163" s="220">
        <v>0</v>
      </c>
      <c r="H163" s="222">
        <v>20.93</v>
      </c>
      <c r="I163" s="217" t="s">
        <v>1052</v>
      </c>
      <c r="J163" s="246">
        <f>VLOOKUP(B163,'HK 20.2.2014'!B:I,8,0)</f>
        <v>20.93</v>
      </c>
      <c r="K163" s="224">
        <f t="shared" si="5"/>
        <v>0</v>
      </c>
    </row>
    <row r="164" spans="1:11">
      <c r="A164" s="221" t="str">
        <f t="shared" si="6"/>
        <v>501</v>
      </c>
      <c r="B164" s="218">
        <v>5012330000</v>
      </c>
      <c r="C164" s="220">
        <v>0</v>
      </c>
      <c r="D164" s="220">
        <v>0</v>
      </c>
      <c r="E164" s="220">
        <v>0</v>
      </c>
      <c r="F164" s="220">
        <v>16</v>
      </c>
      <c r="G164" s="220">
        <v>0</v>
      </c>
      <c r="H164" s="222">
        <v>16</v>
      </c>
      <c r="I164" s="217" t="s">
        <v>1053</v>
      </c>
      <c r="J164" s="246">
        <f>VLOOKUP(B164,'HK 20.2.2014'!B:I,8,0)</f>
        <v>16</v>
      </c>
      <c r="K164" s="224">
        <f t="shared" si="5"/>
        <v>0</v>
      </c>
    </row>
    <row r="165" spans="1:11">
      <c r="A165" s="221" t="str">
        <f t="shared" si="6"/>
        <v>501</v>
      </c>
      <c r="B165" s="218">
        <v>5013110000</v>
      </c>
      <c r="C165" s="220">
        <v>0</v>
      </c>
      <c r="D165" s="220">
        <v>32323.3</v>
      </c>
      <c r="E165" s="220">
        <v>0</v>
      </c>
      <c r="F165" s="220">
        <v>320537.31</v>
      </c>
      <c r="G165" s="220">
        <v>0</v>
      </c>
      <c r="H165" s="222">
        <v>320537.31</v>
      </c>
      <c r="I165" s="217" t="s">
        <v>1054</v>
      </c>
      <c r="J165" s="246">
        <f>VLOOKUP(B165,'HK 20.2.2014'!B:I,8,0)</f>
        <v>320537.31</v>
      </c>
      <c r="K165" s="224">
        <f t="shared" si="5"/>
        <v>0</v>
      </c>
    </row>
    <row r="166" spans="1:11">
      <c r="A166" s="221" t="str">
        <f t="shared" si="6"/>
        <v>501</v>
      </c>
      <c r="B166" s="218">
        <v>5014000000</v>
      </c>
      <c r="C166" s="220">
        <v>0</v>
      </c>
      <c r="D166" s="220">
        <v>5780.42</v>
      </c>
      <c r="E166" s="220">
        <v>0</v>
      </c>
      <c r="F166" s="220">
        <v>77559.77</v>
      </c>
      <c r="G166" s="220">
        <v>0</v>
      </c>
      <c r="H166" s="222">
        <v>77559.77</v>
      </c>
      <c r="I166" s="217" t="s">
        <v>1055</v>
      </c>
      <c r="J166" s="246">
        <f>VLOOKUP(B166,'HK 20.2.2014'!B:I,8,0)</f>
        <v>77559.77</v>
      </c>
      <c r="K166" s="224">
        <f t="shared" si="5"/>
        <v>0</v>
      </c>
    </row>
    <row r="167" spans="1:11">
      <c r="A167" s="221" t="str">
        <f t="shared" si="6"/>
        <v>501</v>
      </c>
      <c r="B167" s="218">
        <v>5015110000</v>
      </c>
      <c r="C167" s="220">
        <v>0</v>
      </c>
      <c r="D167" s="220">
        <v>945.72</v>
      </c>
      <c r="E167" s="220">
        <v>0</v>
      </c>
      <c r="F167" s="220">
        <v>208417.22</v>
      </c>
      <c r="G167" s="220">
        <v>0</v>
      </c>
      <c r="H167" s="222">
        <v>208417.22</v>
      </c>
      <c r="I167" s="217" t="s">
        <v>1056</v>
      </c>
      <c r="J167" s="246">
        <f>VLOOKUP(B167,'HK 20.2.2014'!B:I,8,0)</f>
        <v>208417.22</v>
      </c>
      <c r="K167" s="224">
        <f t="shared" si="5"/>
        <v>0</v>
      </c>
    </row>
    <row r="168" spans="1:11">
      <c r="A168" s="221" t="str">
        <f t="shared" si="6"/>
        <v>501</v>
      </c>
      <c r="B168" s="218">
        <v>5016100000</v>
      </c>
      <c r="C168" s="220">
        <v>0</v>
      </c>
      <c r="D168" s="220">
        <v>5169.95</v>
      </c>
      <c r="E168" s="220">
        <v>0</v>
      </c>
      <c r="F168" s="220">
        <v>68637.039999999994</v>
      </c>
      <c r="G168" s="220">
        <v>0</v>
      </c>
      <c r="H168" s="222">
        <v>68637.039999999994</v>
      </c>
      <c r="I168" s="217" t="s">
        <v>1057</v>
      </c>
      <c r="J168" s="246">
        <f>VLOOKUP(B168,'HK 20.2.2014'!B:I,8,0)</f>
        <v>68637.039999999994</v>
      </c>
      <c r="K168" s="224">
        <f t="shared" si="5"/>
        <v>0</v>
      </c>
    </row>
    <row r="169" spans="1:11">
      <c r="A169" s="221" t="str">
        <f t="shared" si="6"/>
        <v>501</v>
      </c>
      <c r="B169" s="218">
        <v>5016200000</v>
      </c>
      <c r="C169" s="220">
        <v>0</v>
      </c>
      <c r="D169" s="220">
        <v>3182.57</v>
      </c>
      <c r="E169" s="220">
        <v>0</v>
      </c>
      <c r="F169" s="220">
        <v>44811.92</v>
      </c>
      <c r="G169" s="220">
        <v>0</v>
      </c>
      <c r="H169" s="222">
        <v>44811.92</v>
      </c>
      <c r="I169" s="217" t="s">
        <v>1058</v>
      </c>
      <c r="J169" s="246">
        <f>VLOOKUP(B169,'HK 20.2.2014'!B:I,8,0)</f>
        <v>44811.92</v>
      </c>
      <c r="K169" s="224">
        <f t="shared" si="5"/>
        <v>0</v>
      </c>
    </row>
    <row r="170" spans="1:11">
      <c r="A170" s="221" t="str">
        <f t="shared" si="6"/>
        <v>501</v>
      </c>
      <c r="B170" s="218">
        <v>5017110000</v>
      </c>
      <c r="C170" s="220">
        <v>0</v>
      </c>
      <c r="D170" s="220">
        <v>1827.38</v>
      </c>
      <c r="E170" s="220">
        <v>0</v>
      </c>
      <c r="F170" s="220">
        <v>17835.27</v>
      </c>
      <c r="G170" s="220">
        <v>0</v>
      </c>
      <c r="H170" s="222">
        <v>17835.27</v>
      </c>
      <c r="I170" s="217" t="s">
        <v>1059</v>
      </c>
      <c r="J170" s="246">
        <f>VLOOKUP(B170,'HK 20.2.2014'!B:I,8,0)</f>
        <v>17835.27</v>
      </c>
      <c r="K170" s="224">
        <f t="shared" si="5"/>
        <v>0</v>
      </c>
    </row>
    <row r="171" spans="1:11">
      <c r="A171" s="221" t="str">
        <f t="shared" si="6"/>
        <v>501</v>
      </c>
      <c r="B171" s="218">
        <v>5017120000</v>
      </c>
      <c r="C171" s="220">
        <v>0</v>
      </c>
      <c r="D171" s="220">
        <v>1.53</v>
      </c>
      <c r="E171" s="220">
        <v>0</v>
      </c>
      <c r="F171" s="220">
        <v>144.13</v>
      </c>
      <c r="G171" s="220">
        <v>0</v>
      </c>
      <c r="H171" s="222">
        <v>144.13</v>
      </c>
      <c r="I171" s="217" t="s">
        <v>1060</v>
      </c>
      <c r="J171" s="246">
        <f>VLOOKUP(B171,'HK 20.2.2014'!B:I,8,0)</f>
        <v>144.13</v>
      </c>
      <c r="K171" s="224">
        <f t="shared" si="5"/>
        <v>0</v>
      </c>
    </row>
    <row r="172" spans="1:11">
      <c r="A172" s="221" t="str">
        <f t="shared" si="6"/>
        <v>501</v>
      </c>
      <c r="B172" s="218">
        <v>5017130000</v>
      </c>
      <c r="C172" s="220">
        <v>0</v>
      </c>
      <c r="D172" s="220">
        <v>543.07000000000005</v>
      </c>
      <c r="E172" s="220">
        <v>0</v>
      </c>
      <c r="F172" s="220">
        <v>15559.63</v>
      </c>
      <c r="G172" s="220">
        <v>0</v>
      </c>
      <c r="H172" s="222">
        <v>15559.63</v>
      </c>
      <c r="I172" s="217" t="s">
        <v>1061</v>
      </c>
      <c r="J172" s="246">
        <f>VLOOKUP(B172,'HK 20.2.2014'!B:I,8,0)</f>
        <v>15559.63</v>
      </c>
      <c r="K172" s="224">
        <f t="shared" si="5"/>
        <v>0</v>
      </c>
    </row>
    <row r="173" spans="1:11">
      <c r="A173" s="221" t="str">
        <f t="shared" si="6"/>
        <v>501</v>
      </c>
      <c r="B173" s="218">
        <v>5017500000</v>
      </c>
      <c r="C173" s="220">
        <v>0</v>
      </c>
      <c r="D173" s="220">
        <v>125.73</v>
      </c>
      <c r="E173" s="220">
        <v>0</v>
      </c>
      <c r="F173" s="220">
        <v>8098.44</v>
      </c>
      <c r="G173" s="220">
        <v>0</v>
      </c>
      <c r="H173" s="222">
        <v>8098.44</v>
      </c>
      <c r="I173" s="217" t="s">
        <v>1062</v>
      </c>
      <c r="J173" s="246">
        <f>VLOOKUP(B173,'HK 20.2.2014'!B:I,8,0)</f>
        <v>8098.44</v>
      </c>
      <c r="K173" s="224">
        <f t="shared" si="5"/>
        <v>0</v>
      </c>
    </row>
    <row r="174" spans="1:11">
      <c r="A174" s="221" t="str">
        <f t="shared" si="6"/>
        <v>501</v>
      </c>
      <c r="B174" s="218">
        <v>5018100000</v>
      </c>
      <c r="C174" s="220">
        <v>0</v>
      </c>
      <c r="D174" s="220">
        <v>63.42</v>
      </c>
      <c r="E174" s="220">
        <v>0</v>
      </c>
      <c r="F174" s="220">
        <v>1328.33</v>
      </c>
      <c r="G174" s="220">
        <v>0</v>
      </c>
      <c r="H174" s="222">
        <v>1328.33</v>
      </c>
      <c r="I174" s="217" t="s">
        <v>1063</v>
      </c>
      <c r="J174" s="246">
        <f>VLOOKUP(B174,'HK 20.2.2014'!B:I,8,0)</f>
        <v>1328.33</v>
      </c>
      <c r="K174" s="224">
        <f t="shared" si="5"/>
        <v>0</v>
      </c>
    </row>
    <row r="175" spans="1:11">
      <c r="A175" s="221" t="str">
        <f t="shared" si="6"/>
        <v>501</v>
      </c>
      <c r="B175" s="218">
        <v>5018200000</v>
      </c>
      <c r="C175" s="220">
        <v>0</v>
      </c>
      <c r="D175" s="220">
        <v>1190.3</v>
      </c>
      <c r="E175" s="220">
        <v>0</v>
      </c>
      <c r="F175" s="220">
        <v>12188.84</v>
      </c>
      <c r="G175" s="220">
        <v>0</v>
      </c>
      <c r="H175" s="222">
        <v>12188.84</v>
      </c>
      <c r="I175" s="217" t="s">
        <v>1064</v>
      </c>
      <c r="J175" s="246">
        <f>VLOOKUP(B175,'HK 20.2.2014'!B:I,8,0)</f>
        <v>12188.84</v>
      </c>
      <c r="K175" s="224">
        <f t="shared" si="5"/>
        <v>0</v>
      </c>
    </row>
    <row r="176" spans="1:11">
      <c r="A176" s="221" t="str">
        <f t="shared" si="6"/>
        <v>501</v>
      </c>
      <c r="B176" s="218">
        <v>5019120000</v>
      </c>
      <c r="C176" s="220">
        <v>0</v>
      </c>
      <c r="D176" s="220">
        <v>423.35</v>
      </c>
      <c r="E176" s="220">
        <v>0</v>
      </c>
      <c r="F176" s="220">
        <v>5735.18</v>
      </c>
      <c r="G176" s="220">
        <v>0</v>
      </c>
      <c r="H176" s="222">
        <v>5735.18</v>
      </c>
      <c r="I176" s="217" t="s">
        <v>1065</v>
      </c>
      <c r="J176" s="246">
        <f>VLOOKUP(B176,'HK 20.2.2014'!B:I,8,0)</f>
        <v>5735.18</v>
      </c>
      <c r="K176" s="224">
        <f t="shared" si="5"/>
        <v>0</v>
      </c>
    </row>
    <row r="177" spans="1:11">
      <c r="A177" s="221" t="str">
        <f t="shared" si="6"/>
        <v>501</v>
      </c>
      <c r="B177" s="218">
        <v>5019200000</v>
      </c>
      <c r="C177" s="220">
        <v>0</v>
      </c>
      <c r="D177" s="220">
        <v>1236.67</v>
      </c>
      <c r="E177" s="220">
        <v>0</v>
      </c>
      <c r="F177" s="220">
        <v>19551.41</v>
      </c>
      <c r="G177" s="220">
        <v>0</v>
      </c>
      <c r="H177" s="222">
        <v>19551.41</v>
      </c>
      <c r="I177" s="217" t="s">
        <v>1066</v>
      </c>
      <c r="J177" s="246">
        <f>VLOOKUP(B177,'HK 20.2.2014'!B:I,8,0)</f>
        <v>19551.41</v>
      </c>
      <c r="K177" s="224">
        <f t="shared" si="5"/>
        <v>0</v>
      </c>
    </row>
    <row r="178" spans="1:11">
      <c r="A178" s="221" t="str">
        <f t="shared" si="6"/>
        <v>501</v>
      </c>
      <c r="B178" s="218">
        <v>5019300000</v>
      </c>
      <c r="C178" s="220">
        <v>0</v>
      </c>
      <c r="D178" s="220">
        <v>8.8000000000000007</v>
      </c>
      <c r="E178" s="220">
        <v>0</v>
      </c>
      <c r="F178" s="220">
        <v>668.23</v>
      </c>
      <c r="G178" s="220">
        <v>0</v>
      </c>
      <c r="H178" s="222">
        <v>668.23</v>
      </c>
      <c r="I178" s="217" t="s">
        <v>1067</v>
      </c>
      <c r="J178" s="246">
        <f>VLOOKUP(B178,'HK 20.2.2014'!B:I,8,0)</f>
        <v>668.23</v>
      </c>
      <c r="K178" s="224">
        <f t="shared" si="5"/>
        <v>0</v>
      </c>
    </row>
    <row r="179" spans="1:11">
      <c r="A179" s="221" t="str">
        <f t="shared" si="6"/>
        <v>501</v>
      </c>
      <c r="B179" s="218">
        <v>5019400000</v>
      </c>
      <c r="C179" s="220">
        <v>0</v>
      </c>
      <c r="D179" s="220">
        <v>50.09</v>
      </c>
      <c r="E179" s="220">
        <v>0</v>
      </c>
      <c r="F179" s="220">
        <v>1018.54</v>
      </c>
      <c r="G179" s="220">
        <v>0</v>
      </c>
      <c r="H179" s="222">
        <v>1018.54</v>
      </c>
      <c r="I179" s="217" t="s">
        <v>1068</v>
      </c>
      <c r="J179" s="246">
        <f>VLOOKUP(B179,'HK 20.2.2014'!B:I,8,0)</f>
        <v>1018.54</v>
      </c>
      <c r="K179" s="224">
        <f t="shared" si="5"/>
        <v>0</v>
      </c>
    </row>
    <row r="180" spans="1:11">
      <c r="A180" s="221" t="str">
        <f t="shared" si="6"/>
        <v>502</v>
      </c>
      <c r="B180" s="218">
        <v>5021000000</v>
      </c>
      <c r="C180" s="220">
        <v>0</v>
      </c>
      <c r="D180" s="220">
        <v>6828.18</v>
      </c>
      <c r="E180" s="220">
        <v>0</v>
      </c>
      <c r="F180" s="220">
        <v>84875.31</v>
      </c>
      <c r="G180" s="220">
        <v>0</v>
      </c>
      <c r="H180" s="222">
        <v>84875.31</v>
      </c>
      <c r="I180" s="217" t="s">
        <v>1069</v>
      </c>
      <c r="J180" s="246">
        <f>VLOOKUP(B180,'HK 20.2.2014'!B:I,8,0)</f>
        <v>84875.31</v>
      </c>
      <c r="K180" s="224">
        <f t="shared" si="5"/>
        <v>0</v>
      </c>
    </row>
    <row r="181" spans="1:11">
      <c r="A181" s="221" t="str">
        <f t="shared" si="6"/>
        <v>502</v>
      </c>
      <c r="B181" s="218">
        <v>5022000000</v>
      </c>
      <c r="C181" s="220">
        <v>0</v>
      </c>
      <c r="D181" s="220">
        <v>8071.78</v>
      </c>
      <c r="E181" s="220">
        <v>0</v>
      </c>
      <c r="F181" s="220">
        <v>74655.850000000006</v>
      </c>
      <c r="G181" s="220">
        <v>0</v>
      </c>
      <c r="H181" s="222">
        <v>74655.850000000006</v>
      </c>
      <c r="I181" s="217" t="s">
        <v>1070</v>
      </c>
      <c r="J181" s="246">
        <f>VLOOKUP(B181,'HK 20.2.2014'!B:I,8,0)</f>
        <v>74655.850000000006</v>
      </c>
      <c r="K181" s="224">
        <f t="shared" si="5"/>
        <v>0</v>
      </c>
    </row>
    <row r="182" spans="1:11">
      <c r="A182" s="221" t="str">
        <f t="shared" si="6"/>
        <v>502</v>
      </c>
      <c r="B182" s="218">
        <v>5023000000</v>
      </c>
      <c r="C182" s="220">
        <v>0</v>
      </c>
      <c r="D182" s="220">
        <v>0</v>
      </c>
      <c r="E182" s="220">
        <v>0</v>
      </c>
      <c r="F182" s="220">
        <v>-103.85</v>
      </c>
      <c r="G182" s="220">
        <v>0</v>
      </c>
      <c r="H182" s="222">
        <v>-103.85</v>
      </c>
      <c r="I182" s="217" t="s">
        <v>1071</v>
      </c>
      <c r="J182" s="246">
        <f>VLOOKUP(B182,'HK 20.2.2014'!B:I,8,0)</f>
        <v>-103.85</v>
      </c>
      <c r="K182" s="224">
        <f t="shared" si="5"/>
        <v>0</v>
      </c>
    </row>
    <row r="183" spans="1:11">
      <c r="A183" s="221" t="str">
        <f t="shared" si="6"/>
        <v>502</v>
      </c>
      <c r="B183" s="218">
        <v>5024000000</v>
      </c>
      <c r="C183" s="220">
        <v>0</v>
      </c>
      <c r="D183" s="220">
        <v>22060.05</v>
      </c>
      <c r="E183" s="220">
        <v>0</v>
      </c>
      <c r="F183" s="220">
        <v>186641.28</v>
      </c>
      <c r="G183" s="220">
        <v>0</v>
      </c>
      <c r="H183" s="222">
        <v>186641.28</v>
      </c>
      <c r="I183" s="217" t="s">
        <v>1072</v>
      </c>
      <c r="J183" s="246">
        <f>VLOOKUP(B183,'HK 20.2.2014'!B:I,8,0)</f>
        <v>186641.28</v>
      </c>
      <c r="K183" s="224">
        <f t="shared" si="5"/>
        <v>0</v>
      </c>
    </row>
    <row r="184" spans="1:11">
      <c r="A184" s="221" t="str">
        <f t="shared" si="6"/>
        <v>504</v>
      </c>
      <c r="B184" s="218">
        <v>5041000000</v>
      </c>
      <c r="C184" s="220">
        <v>0</v>
      </c>
      <c r="D184" s="220">
        <v>0</v>
      </c>
      <c r="E184" s="220">
        <v>0</v>
      </c>
      <c r="F184" s="220">
        <v>72677.8</v>
      </c>
      <c r="G184" s="220">
        <v>0</v>
      </c>
      <c r="H184" s="222">
        <v>72677.8</v>
      </c>
      <c r="I184" s="217" t="s">
        <v>1073</v>
      </c>
      <c r="J184" s="246">
        <f>VLOOKUP(B184,'HK 20.2.2014'!B:I,8,0)</f>
        <v>72677.8</v>
      </c>
      <c r="K184" s="224">
        <f t="shared" si="5"/>
        <v>0</v>
      </c>
    </row>
    <row r="185" spans="1:11">
      <c r="A185" s="221" t="str">
        <f t="shared" si="6"/>
        <v>511</v>
      </c>
      <c r="B185" s="218">
        <v>5111000000</v>
      </c>
      <c r="C185" s="220">
        <v>0</v>
      </c>
      <c r="D185" s="220">
        <v>634.6</v>
      </c>
      <c r="E185" s="220">
        <v>0</v>
      </c>
      <c r="F185" s="220">
        <v>15211.1</v>
      </c>
      <c r="G185" s="220">
        <v>0</v>
      </c>
      <c r="H185" s="222">
        <v>15211.1</v>
      </c>
      <c r="I185" s="217" t="s">
        <v>1074</v>
      </c>
      <c r="J185" s="246">
        <f>VLOOKUP(B185,'HK 20.2.2014'!B:I,8,0)</f>
        <v>15211.1</v>
      </c>
      <c r="K185" s="224">
        <f t="shared" si="5"/>
        <v>0</v>
      </c>
    </row>
    <row r="186" spans="1:11">
      <c r="A186" s="221" t="str">
        <f t="shared" si="6"/>
        <v>511</v>
      </c>
      <c r="B186" s="218">
        <v>5112000000</v>
      </c>
      <c r="C186" s="220">
        <v>0</v>
      </c>
      <c r="D186" s="220">
        <v>332.45</v>
      </c>
      <c r="E186" s="220">
        <v>0</v>
      </c>
      <c r="F186" s="220">
        <v>25151.279999999999</v>
      </c>
      <c r="G186" s="220">
        <v>0</v>
      </c>
      <c r="H186" s="222">
        <v>25151.279999999999</v>
      </c>
      <c r="I186" s="217" t="s">
        <v>1075</v>
      </c>
      <c r="J186" s="246">
        <f>VLOOKUP(B186,'HK 20.2.2014'!B:I,8,0)</f>
        <v>25151.279999999999</v>
      </c>
      <c r="K186" s="224">
        <f t="shared" si="5"/>
        <v>0</v>
      </c>
    </row>
    <row r="187" spans="1:11">
      <c r="A187" s="221" t="str">
        <f t="shared" si="6"/>
        <v>511</v>
      </c>
      <c r="B187" s="218">
        <v>5113000000</v>
      </c>
      <c r="C187" s="220">
        <v>0</v>
      </c>
      <c r="D187" s="220">
        <v>6220.99</v>
      </c>
      <c r="E187" s="220">
        <v>0</v>
      </c>
      <c r="F187" s="220">
        <v>29043.98</v>
      </c>
      <c r="G187" s="220">
        <v>0</v>
      </c>
      <c r="H187" s="222">
        <v>29043.98</v>
      </c>
      <c r="I187" s="217" t="s">
        <v>1076</v>
      </c>
      <c r="J187" s="246">
        <f>VLOOKUP(B187,'HK 20.2.2014'!B:I,8,0)</f>
        <v>29043.98</v>
      </c>
      <c r="K187" s="224">
        <f t="shared" si="5"/>
        <v>0</v>
      </c>
    </row>
    <row r="188" spans="1:11">
      <c r="A188" s="221" t="str">
        <f t="shared" si="6"/>
        <v>511</v>
      </c>
      <c r="B188" s="218">
        <v>5114000000</v>
      </c>
      <c r="C188" s="220">
        <v>0</v>
      </c>
      <c r="D188" s="220">
        <v>418</v>
      </c>
      <c r="E188" s="220">
        <v>0</v>
      </c>
      <c r="F188" s="220">
        <v>6781.55</v>
      </c>
      <c r="G188" s="220">
        <v>0</v>
      </c>
      <c r="H188" s="222">
        <v>6781.55</v>
      </c>
      <c r="I188" s="217" t="s">
        <v>1077</v>
      </c>
      <c r="J188" s="246">
        <f>VLOOKUP(B188,'HK 20.2.2014'!B:I,8,0)</f>
        <v>6781.55</v>
      </c>
      <c r="K188" s="224">
        <f t="shared" si="5"/>
        <v>0</v>
      </c>
    </row>
    <row r="189" spans="1:11">
      <c r="A189" s="221" t="str">
        <f t="shared" si="6"/>
        <v>512</v>
      </c>
      <c r="B189" s="218">
        <v>5121100000</v>
      </c>
      <c r="C189" s="220">
        <v>0</v>
      </c>
      <c r="D189" s="220">
        <v>0</v>
      </c>
      <c r="E189" s="220">
        <v>0</v>
      </c>
      <c r="F189" s="220">
        <v>331.04</v>
      </c>
      <c r="G189" s="220">
        <v>0</v>
      </c>
      <c r="H189" s="222">
        <v>331.04</v>
      </c>
      <c r="I189" s="217" t="s">
        <v>1078</v>
      </c>
      <c r="J189" s="246">
        <f>VLOOKUP(B189,'HK 20.2.2014'!B:I,8,0)</f>
        <v>331.04</v>
      </c>
      <c r="K189" s="224">
        <f t="shared" si="5"/>
        <v>0</v>
      </c>
    </row>
    <row r="190" spans="1:11">
      <c r="A190" s="221" t="str">
        <f t="shared" si="6"/>
        <v>512</v>
      </c>
      <c r="B190" s="218">
        <v>5121200000</v>
      </c>
      <c r="C190" s="220">
        <v>0</v>
      </c>
      <c r="D190" s="220">
        <v>1.02</v>
      </c>
      <c r="E190" s="220">
        <v>0</v>
      </c>
      <c r="F190" s="220">
        <v>3844.56</v>
      </c>
      <c r="G190" s="220">
        <v>0</v>
      </c>
      <c r="H190" s="222">
        <v>3844.56</v>
      </c>
      <c r="I190" s="217" t="s">
        <v>1079</v>
      </c>
      <c r="J190" s="246">
        <f>VLOOKUP(B190,'HK 20.2.2014'!B:I,8,0)</f>
        <v>3844.56</v>
      </c>
      <c r="K190" s="224">
        <f t="shared" si="5"/>
        <v>0</v>
      </c>
    </row>
    <row r="191" spans="1:11">
      <c r="A191" s="221" t="str">
        <f t="shared" si="6"/>
        <v>512</v>
      </c>
      <c r="B191" s="218">
        <v>5123100000</v>
      </c>
      <c r="C191" s="220">
        <v>0</v>
      </c>
      <c r="D191" s="220">
        <v>311.2</v>
      </c>
      <c r="E191" s="220">
        <v>0</v>
      </c>
      <c r="F191" s="220">
        <v>4513.2</v>
      </c>
      <c r="G191" s="220">
        <v>0</v>
      </c>
      <c r="H191" s="222">
        <v>4513.2</v>
      </c>
      <c r="I191" s="217" t="s">
        <v>1080</v>
      </c>
      <c r="J191" s="246">
        <f>VLOOKUP(B191,'HK 20.2.2014'!B:I,8,0)</f>
        <v>4513.2</v>
      </c>
      <c r="K191" s="224">
        <f t="shared" si="5"/>
        <v>0</v>
      </c>
    </row>
    <row r="192" spans="1:11">
      <c r="A192" s="221" t="str">
        <f t="shared" si="6"/>
        <v>512</v>
      </c>
      <c r="B192" s="218">
        <v>5123200000</v>
      </c>
      <c r="C192" s="220">
        <v>0</v>
      </c>
      <c r="D192" s="220">
        <v>34.6</v>
      </c>
      <c r="E192" s="220">
        <v>0</v>
      </c>
      <c r="F192" s="220">
        <v>582.6</v>
      </c>
      <c r="G192" s="220">
        <v>0</v>
      </c>
      <c r="H192" s="222">
        <v>582.6</v>
      </c>
      <c r="I192" s="217" t="s">
        <v>1081</v>
      </c>
      <c r="J192" s="246">
        <f>VLOOKUP(B192,'HK 20.2.2014'!B:I,8,0)</f>
        <v>582.6</v>
      </c>
      <c r="K192" s="224">
        <f t="shared" si="5"/>
        <v>0</v>
      </c>
    </row>
    <row r="193" spans="1:11">
      <c r="A193" s="221" t="str">
        <f t="shared" si="6"/>
        <v>512</v>
      </c>
      <c r="B193" s="218">
        <v>5124100000</v>
      </c>
      <c r="C193" s="220">
        <v>0</v>
      </c>
      <c r="D193" s="220">
        <v>210</v>
      </c>
      <c r="E193" s="220">
        <v>0</v>
      </c>
      <c r="F193" s="220">
        <v>528.1</v>
      </c>
      <c r="G193" s="220">
        <v>0</v>
      </c>
      <c r="H193" s="222">
        <v>528.1</v>
      </c>
      <c r="I193" s="217" t="s">
        <v>1082</v>
      </c>
      <c r="J193" s="246">
        <f>VLOOKUP(B193,'HK 20.2.2014'!B:I,8,0)</f>
        <v>528.1</v>
      </c>
      <c r="K193" s="224">
        <f t="shared" si="5"/>
        <v>0</v>
      </c>
    </row>
    <row r="194" spans="1:11">
      <c r="A194" s="221" t="str">
        <f t="shared" si="6"/>
        <v>512</v>
      </c>
      <c r="B194" s="218">
        <v>5124200000</v>
      </c>
      <c r="C194" s="220">
        <v>0</v>
      </c>
      <c r="D194" s="220">
        <v>305</v>
      </c>
      <c r="E194" s="220">
        <v>0</v>
      </c>
      <c r="F194" s="220">
        <v>783.03</v>
      </c>
      <c r="G194" s="220">
        <v>0</v>
      </c>
      <c r="H194" s="222">
        <v>783.03</v>
      </c>
      <c r="I194" s="217" t="s">
        <v>1083</v>
      </c>
      <c r="J194" s="246">
        <f>VLOOKUP(B194,'HK 20.2.2014'!B:I,8,0)</f>
        <v>783.03</v>
      </c>
      <c r="K194" s="224">
        <f t="shared" ref="K194:K257" si="7">J194-H194</f>
        <v>0</v>
      </c>
    </row>
    <row r="195" spans="1:11">
      <c r="A195" s="221" t="str">
        <f t="shared" si="6"/>
        <v>513</v>
      </c>
      <c r="B195" s="218">
        <v>5131000000</v>
      </c>
      <c r="C195" s="220">
        <v>0</v>
      </c>
      <c r="D195" s="220">
        <v>185.86</v>
      </c>
      <c r="E195" s="220">
        <v>0</v>
      </c>
      <c r="F195" s="220">
        <v>1942.95</v>
      </c>
      <c r="G195" s="220">
        <v>0</v>
      </c>
      <c r="H195" s="222">
        <v>1942.95</v>
      </c>
      <c r="I195" s="217" t="s">
        <v>1084</v>
      </c>
      <c r="J195" s="246">
        <f>VLOOKUP(B195,'HK 20.2.2014'!B:I,8,0)</f>
        <v>1942.95</v>
      </c>
      <c r="K195" s="224">
        <f t="shared" si="7"/>
        <v>0</v>
      </c>
    </row>
    <row r="196" spans="1:11">
      <c r="A196" s="221" t="str">
        <f t="shared" si="6"/>
        <v>518</v>
      </c>
      <c r="B196" s="218">
        <v>5181000000</v>
      </c>
      <c r="C196" s="220">
        <v>0</v>
      </c>
      <c r="D196" s="220">
        <v>263.08</v>
      </c>
      <c r="E196" s="220">
        <v>0</v>
      </c>
      <c r="F196" s="220">
        <v>3439.48</v>
      </c>
      <c r="G196" s="220">
        <v>0</v>
      </c>
      <c r="H196" s="222">
        <v>3439.48</v>
      </c>
      <c r="I196" s="217" t="s">
        <v>1085</v>
      </c>
      <c r="J196" s="246">
        <f>VLOOKUP(B196,'HK 20.2.2014'!B:I,8,0)</f>
        <v>3439.48</v>
      </c>
      <c r="K196" s="224">
        <f t="shared" si="7"/>
        <v>0</v>
      </c>
    </row>
    <row r="197" spans="1:11">
      <c r="A197" s="221" t="str">
        <f t="shared" si="6"/>
        <v>518</v>
      </c>
      <c r="B197" s="218">
        <v>5182000000</v>
      </c>
      <c r="C197" s="220">
        <v>0</v>
      </c>
      <c r="D197" s="220">
        <v>-7829.77</v>
      </c>
      <c r="E197" s="220">
        <v>0</v>
      </c>
      <c r="F197" s="220">
        <v>28552.34</v>
      </c>
      <c r="G197" s="220">
        <v>0</v>
      </c>
      <c r="H197" s="222">
        <v>28552.34</v>
      </c>
      <c r="I197" s="217" t="s">
        <v>1086</v>
      </c>
      <c r="J197" s="246">
        <f>VLOOKUP(B197,'HK 20.2.2014'!B:I,8,0)</f>
        <v>28552.34</v>
      </c>
      <c r="K197" s="224">
        <f t="shared" si="7"/>
        <v>0</v>
      </c>
    </row>
    <row r="198" spans="1:11">
      <c r="A198" s="221" t="str">
        <f t="shared" si="6"/>
        <v>518</v>
      </c>
      <c r="B198" s="218">
        <v>5182100000</v>
      </c>
      <c r="C198" s="220">
        <v>0</v>
      </c>
      <c r="D198" s="220">
        <v>10000</v>
      </c>
      <c r="E198" s="220">
        <v>0</v>
      </c>
      <c r="F198" s="220">
        <v>10000</v>
      </c>
      <c r="G198" s="220">
        <v>0</v>
      </c>
      <c r="H198" s="222">
        <v>10000</v>
      </c>
      <c r="I198" s="217" t="s">
        <v>1087</v>
      </c>
      <c r="J198" s="246">
        <f>VLOOKUP(B198,'HK 20.2.2014'!B:I,8,0)</f>
        <v>10000</v>
      </c>
      <c r="K198" s="224">
        <f t="shared" si="7"/>
        <v>0</v>
      </c>
    </row>
    <row r="199" spans="1:11">
      <c r="A199" s="221" t="str">
        <f t="shared" si="6"/>
        <v>518</v>
      </c>
      <c r="B199" s="218">
        <v>5182200000</v>
      </c>
      <c r="C199" s="220">
        <v>0</v>
      </c>
      <c r="D199" s="220">
        <v>1000</v>
      </c>
      <c r="E199" s="220">
        <v>0</v>
      </c>
      <c r="F199" s="220">
        <v>1000</v>
      </c>
      <c r="G199" s="220">
        <v>0</v>
      </c>
      <c r="H199" s="222">
        <v>1000</v>
      </c>
      <c r="I199" s="217" t="s">
        <v>1088</v>
      </c>
      <c r="J199" s="246">
        <f>VLOOKUP(B199,'HK 20.2.2014'!B:I,8,0)</f>
        <v>1000</v>
      </c>
      <c r="K199" s="224">
        <f t="shared" si="7"/>
        <v>0</v>
      </c>
    </row>
    <row r="200" spans="1:11">
      <c r="A200" s="221" t="str">
        <f t="shared" si="6"/>
        <v>518</v>
      </c>
      <c r="B200" s="218">
        <v>5182300000</v>
      </c>
      <c r="C200" s="220">
        <v>0</v>
      </c>
      <c r="D200" s="220">
        <v>28217.52</v>
      </c>
      <c r="E200" s="220">
        <v>0</v>
      </c>
      <c r="F200" s="220">
        <v>50217.52</v>
      </c>
      <c r="G200" s="220">
        <v>0</v>
      </c>
      <c r="H200" s="222">
        <v>50217.52</v>
      </c>
      <c r="I200" s="217" t="s">
        <v>1089</v>
      </c>
      <c r="J200" s="246">
        <f>VLOOKUP(B200,'HK 20.2.2014'!B:I,8,0)</f>
        <v>50217.52</v>
      </c>
      <c r="K200" s="224">
        <f t="shared" si="7"/>
        <v>0</v>
      </c>
    </row>
    <row r="201" spans="1:11">
      <c r="A201" s="221" t="str">
        <f t="shared" si="6"/>
        <v>518</v>
      </c>
      <c r="B201" s="218">
        <v>5182330000</v>
      </c>
      <c r="C201" s="220">
        <v>0</v>
      </c>
      <c r="D201" s="220">
        <v>5348.89</v>
      </c>
      <c r="E201" s="220">
        <v>0</v>
      </c>
      <c r="F201" s="220">
        <v>9440.89</v>
      </c>
      <c r="G201" s="220">
        <v>0</v>
      </c>
      <c r="H201" s="222">
        <v>9440.89</v>
      </c>
      <c r="I201" s="217" t="s">
        <v>1090</v>
      </c>
      <c r="J201" s="246">
        <f>VLOOKUP(B201,'HK 20.2.2014'!B:I,8,0)</f>
        <v>9440.89</v>
      </c>
      <c r="K201" s="224">
        <f t="shared" si="7"/>
        <v>0</v>
      </c>
    </row>
    <row r="202" spans="1:11">
      <c r="A202" s="221" t="str">
        <f t="shared" si="6"/>
        <v>518</v>
      </c>
      <c r="B202" s="218">
        <v>5183100000</v>
      </c>
      <c r="C202" s="220">
        <v>0</v>
      </c>
      <c r="D202" s="220">
        <v>2148.8200000000002</v>
      </c>
      <c r="E202" s="220">
        <v>0</v>
      </c>
      <c r="F202" s="220">
        <v>30928.28</v>
      </c>
      <c r="G202" s="220">
        <v>0</v>
      </c>
      <c r="H202" s="222">
        <v>30928.28</v>
      </c>
      <c r="I202" s="217" t="s">
        <v>1091</v>
      </c>
      <c r="J202" s="246">
        <f>VLOOKUP(B202,'HK 20.2.2014'!B:I,8,0)</f>
        <v>30928.28</v>
      </c>
      <c r="K202" s="224">
        <f t="shared" si="7"/>
        <v>0</v>
      </c>
    </row>
    <row r="203" spans="1:11">
      <c r="A203" s="221" t="str">
        <f t="shared" si="6"/>
        <v>518</v>
      </c>
      <c r="B203" s="218">
        <v>5185000000</v>
      </c>
      <c r="C203" s="220">
        <v>0</v>
      </c>
      <c r="D203" s="220">
        <v>3507.47</v>
      </c>
      <c r="E203" s="220">
        <v>0</v>
      </c>
      <c r="F203" s="220">
        <v>28507.599999999999</v>
      </c>
      <c r="G203" s="220">
        <v>0</v>
      </c>
      <c r="H203" s="222">
        <v>28507.599999999999</v>
      </c>
      <c r="I203" s="217" t="s">
        <v>1092</v>
      </c>
      <c r="J203" s="246">
        <f>VLOOKUP(B203,'HK 20.2.2014'!B:I,8,0)</f>
        <v>28507.599999999999</v>
      </c>
      <c r="K203" s="224">
        <f t="shared" si="7"/>
        <v>0</v>
      </c>
    </row>
    <row r="204" spans="1:11">
      <c r="A204" s="221" t="str">
        <f t="shared" si="6"/>
        <v>518</v>
      </c>
      <c r="B204" s="218">
        <v>5186100000</v>
      </c>
      <c r="C204" s="220">
        <v>0</v>
      </c>
      <c r="D204" s="220">
        <v>1072.42</v>
      </c>
      <c r="E204" s="220">
        <v>0</v>
      </c>
      <c r="F204" s="220">
        <v>11684.15</v>
      </c>
      <c r="G204" s="220">
        <v>0</v>
      </c>
      <c r="H204" s="222">
        <v>11684.15</v>
      </c>
      <c r="I204" s="217" t="s">
        <v>1093</v>
      </c>
      <c r="J204" s="246">
        <f>VLOOKUP(B204,'HK 20.2.2014'!B:I,8,0)</f>
        <v>11684.15</v>
      </c>
      <c r="K204" s="224">
        <f t="shared" si="7"/>
        <v>0</v>
      </c>
    </row>
    <row r="205" spans="1:11">
      <c r="A205" s="221" t="str">
        <f t="shared" si="6"/>
        <v>518</v>
      </c>
      <c r="B205" s="218">
        <v>5186200000</v>
      </c>
      <c r="C205" s="220">
        <v>0</v>
      </c>
      <c r="D205" s="220">
        <v>199.44</v>
      </c>
      <c r="E205" s="220">
        <v>0</v>
      </c>
      <c r="F205" s="220">
        <v>2292.15</v>
      </c>
      <c r="G205" s="220">
        <v>0</v>
      </c>
      <c r="H205" s="222">
        <v>2292.15</v>
      </c>
      <c r="I205" s="217" t="s">
        <v>1094</v>
      </c>
      <c r="J205" s="246">
        <f>VLOOKUP(B205,'HK 20.2.2014'!B:I,8,0)</f>
        <v>2292.15</v>
      </c>
      <c r="K205" s="224">
        <f t="shared" si="7"/>
        <v>0</v>
      </c>
    </row>
    <row r="206" spans="1:11">
      <c r="A206" s="221" t="str">
        <f t="shared" si="6"/>
        <v>518</v>
      </c>
      <c r="B206" s="218">
        <v>5186300000</v>
      </c>
      <c r="C206" s="220">
        <v>0</v>
      </c>
      <c r="D206" s="220">
        <v>235.49</v>
      </c>
      <c r="E206" s="220">
        <v>0</v>
      </c>
      <c r="F206" s="220">
        <v>2975.77</v>
      </c>
      <c r="G206" s="220">
        <v>0</v>
      </c>
      <c r="H206" s="222">
        <v>2975.77</v>
      </c>
      <c r="I206" s="217" t="s">
        <v>1095</v>
      </c>
      <c r="J206" s="246">
        <f>VLOOKUP(B206,'HK 20.2.2014'!B:I,8,0)</f>
        <v>2975.77</v>
      </c>
      <c r="K206" s="224">
        <f t="shared" si="7"/>
        <v>0</v>
      </c>
    </row>
    <row r="207" spans="1:11">
      <c r="A207" s="221" t="str">
        <f t="shared" si="6"/>
        <v>518</v>
      </c>
      <c r="B207" s="218">
        <v>5187000000</v>
      </c>
      <c r="C207" s="220">
        <v>0</v>
      </c>
      <c r="D207" s="220">
        <v>18000</v>
      </c>
      <c r="E207" s="220">
        <v>0</v>
      </c>
      <c r="F207" s="220">
        <v>216000</v>
      </c>
      <c r="G207" s="220">
        <v>0</v>
      </c>
      <c r="H207" s="222">
        <v>216000</v>
      </c>
      <c r="I207" s="217" t="s">
        <v>1096</v>
      </c>
      <c r="J207" s="246">
        <f>VLOOKUP(B207,'HK 20.2.2014'!B:I,8,0)</f>
        <v>281000</v>
      </c>
      <c r="K207" s="224">
        <f t="shared" si="7"/>
        <v>65000</v>
      </c>
    </row>
    <row r="208" spans="1:11">
      <c r="A208" s="221" t="str">
        <f t="shared" si="6"/>
        <v>518</v>
      </c>
      <c r="B208" s="218">
        <v>5189100000</v>
      </c>
      <c r="C208" s="220">
        <v>0</v>
      </c>
      <c r="D208" s="220">
        <v>508.8</v>
      </c>
      <c r="E208" s="220">
        <v>0</v>
      </c>
      <c r="F208" s="220">
        <v>15151.28</v>
      </c>
      <c r="G208" s="220">
        <v>0</v>
      </c>
      <c r="H208" s="222">
        <v>15151.28</v>
      </c>
      <c r="I208" s="217" t="s">
        <v>1097</v>
      </c>
      <c r="J208" s="246">
        <f>VLOOKUP(B208,'HK 20.2.2014'!B:I,8,0)</f>
        <v>15151.28</v>
      </c>
      <c r="K208" s="224">
        <f t="shared" si="7"/>
        <v>0</v>
      </c>
    </row>
    <row r="209" spans="1:11">
      <c r="A209" s="221" t="str">
        <f t="shared" si="6"/>
        <v>518</v>
      </c>
      <c r="B209" s="218">
        <v>5189200000</v>
      </c>
      <c r="C209" s="220">
        <v>0</v>
      </c>
      <c r="D209" s="220">
        <v>14704.99</v>
      </c>
      <c r="E209" s="220">
        <v>0</v>
      </c>
      <c r="F209" s="220">
        <v>52978.36</v>
      </c>
      <c r="G209" s="220">
        <v>0</v>
      </c>
      <c r="H209" s="222">
        <v>52978.36</v>
      </c>
      <c r="I209" s="217" t="s">
        <v>1098</v>
      </c>
      <c r="J209" s="246">
        <f>VLOOKUP(B209,'HK 20.2.2014'!B:I,8,0)</f>
        <v>53122.559999999998</v>
      </c>
      <c r="K209" s="224">
        <f t="shared" si="7"/>
        <v>144.19999999999709</v>
      </c>
    </row>
    <row r="210" spans="1:11">
      <c r="A210" s="221" t="str">
        <f t="shared" si="6"/>
        <v>518</v>
      </c>
      <c r="B210" s="218">
        <v>5189300000</v>
      </c>
      <c r="C210" s="220">
        <v>0</v>
      </c>
      <c r="D210" s="220">
        <v>4216.08</v>
      </c>
      <c r="E210" s="220">
        <v>0</v>
      </c>
      <c r="F210" s="220">
        <v>40440.1</v>
      </c>
      <c r="G210" s="220">
        <v>0</v>
      </c>
      <c r="H210" s="222">
        <v>40440.1</v>
      </c>
      <c r="I210" s="217" t="s">
        <v>1099</v>
      </c>
      <c r="J210" s="246">
        <f>VLOOKUP(B210,'HK 20.2.2014'!B:I,8,0)</f>
        <v>40440.1</v>
      </c>
      <c r="K210" s="224">
        <f t="shared" si="7"/>
        <v>0</v>
      </c>
    </row>
    <row r="211" spans="1:11">
      <c r="A211" s="221" t="str">
        <f t="shared" si="6"/>
        <v>521</v>
      </c>
      <c r="B211" s="218">
        <v>5211100000</v>
      </c>
      <c r="C211" s="220">
        <v>0</v>
      </c>
      <c r="D211" s="220">
        <v>200222.06</v>
      </c>
      <c r="E211" s="220">
        <v>0</v>
      </c>
      <c r="F211" s="220">
        <v>2254973.33</v>
      </c>
      <c r="G211" s="220">
        <v>8358.58</v>
      </c>
      <c r="H211" s="222">
        <v>2246614.75</v>
      </c>
      <c r="I211" s="217" t="s">
        <v>1100</v>
      </c>
      <c r="J211" s="246">
        <f>VLOOKUP(B211,'HK 20.2.2014'!B:I,8,0)</f>
        <v>2246614.75</v>
      </c>
      <c r="K211" s="224">
        <f t="shared" si="7"/>
        <v>0</v>
      </c>
    </row>
    <row r="212" spans="1:11">
      <c r="A212" s="221" t="str">
        <f t="shared" si="6"/>
        <v>521</v>
      </c>
      <c r="B212" s="218">
        <v>5211200000</v>
      </c>
      <c r="C212" s="220">
        <v>0</v>
      </c>
      <c r="D212" s="220">
        <v>67578.490000000005</v>
      </c>
      <c r="E212" s="220">
        <v>0</v>
      </c>
      <c r="F212" s="220">
        <v>588247.81000000006</v>
      </c>
      <c r="G212" s="220">
        <v>0</v>
      </c>
      <c r="H212" s="222">
        <v>588247.81000000006</v>
      </c>
      <c r="I212" s="217" t="s">
        <v>1101</v>
      </c>
      <c r="J212" s="246">
        <f>VLOOKUP(B212,'HK 20.2.2014'!B:I,8,0)</f>
        <v>588247.81000000006</v>
      </c>
      <c r="K212" s="224">
        <f t="shared" si="7"/>
        <v>0</v>
      </c>
    </row>
    <row r="213" spans="1:11">
      <c r="A213" s="221" t="str">
        <f t="shared" si="6"/>
        <v>521</v>
      </c>
      <c r="B213" s="218">
        <v>5212100000</v>
      </c>
      <c r="C213" s="220">
        <v>0</v>
      </c>
      <c r="D213" s="220">
        <v>6076.91</v>
      </c>
      <c r="E213" s="220">
        <v>0</v>
      </c>
      <c r="F213" s="220">
        <v>56976.21</v>
      </c>
      <c r="G213" s="220">
        <v>0</v>
      </c>
      <c r="H213" s="222">
        <v>56976.21</v>
      </c>
      <c r="I213" s="217" t="s">
        <v>1102</v>
      </c>
      <c r="J213" s="246">
        <f>VLOOKUP(B213,'HK 20.2.2014'!B:I,8,0)</f>
        <v>56976.21</v>
      </c>
      <c r="K213" s="224">
        <f t="shared" si="7"/>
        <v>0</v>
      </c>
    </row>
    <row r="214" spans="1:11">
      <c r="A214" s="221" t="str">
        <f t="shared" si="6"/>
        <v>521</v>
      </c>
      <c r="B214" s="218">
        <v>5212200000</v>
      </c>
      <c r="C214" s="220">
        <v>0</v>
      </c>
      <c r="D214" s="220">
        <v>2016.03</v>
      </c>
      <c r="E214" s="220">
        <v>0</v>
      </c>
      <c r="F214" s="220">
        <v>29900.85</v>
      </c>
      <c r="G214" s="220">
        <v>1226.56</v>
      </c>
      <c r="H214" s="222">
        <v>28674.29</v>
      </c>
      <c r="I214" s="217" t="s">
        <v>1103</v>
      </c>
      <c r="J214" s="246">
        <f>VLOOKUP(B214,'HK 20.2.2014'!B:I,8,0)</f>
        <v>28674.29</v>
      </c>
      <c r="K214" s="224">
        <f t="shared" si="7"/>
        <v>0</v>
      </c>
    </row>
    <row r="215" spans="1:11">
      <c r="A215" s="221" t="str">
        <f t="shared" si="6"/>
        <v>524</v>
      </c>
      <c r="B215" s="218">
        <v>5241100000</v>
      </c>
      <c r="C215" s="220">
        <v>0</v>
      </c>
      <c r="D215" s="220">
        <v>68707.17</v>
      </c>
      <c r="E215" s="220">
        <v>0</v>
      </c>
      <c r="F215" s="220">
        <v>804165.65</v>
      </c>
      <c r="G215" s="220">
        <v>2919.69</v>
      </c>
      <c r="H215" s="222">
        <v>801245.96</v>
      </c>
      <c r="I215" s="217" t="s">
        <v>1104</v>
      </c>
      <c r="J215" s="246">
        <f>VLOOKUP(B215,'HK 20.2.2014'!B:I,8,0)</f>
        <v>801245.96</v>
      </c>
      <c r="K215" s="224">
        <f t="shared" si="7"/>
        <v>0</v>
      </c>
    </row>
    <row r="216" spans="1:11">
      <c r="A216" s="221" t="str">
        <f t="shared" si="6"/>
        <v>524</v>
      </c>
      <c r="B216" s="218">
        <v>5241200000</v>
      </c>
      <c r="C216" s="220">
        <v>0</v>
      </c>
      <c r="D216" s="220">
        <v>18477.72</v>
      </c>
      <c r="E216" s="220">
        <v>0</v>
      </c>
      <c r="F216" s="220">
        <v>200088.97</v>
      </c>
      <c r="G216" s="220">
        <v>431.64</v>
      </c>
      <c r="H216" s="222">
        <v>199657.33</v>
      </c>
      <c r="I216" s="217" t="s">
        <v>1105</v>
      </c>
      <c r="J216" s="246">
        <f>VLOOKUP(B216,'HK 20.2.2014'!B:I,8,0)</f>
        <v>199657.33</v>
      </c>
      <c r="K216" s="224">
        <f t="shared" si="7"/>
        <v>0</v>
      </c>
    </row>
    <row r="217" spans="1:11">
      <c r="A217" s="221" t="str">
        <f t="shared" si="6"/>
        <v>524</v>
      </c>
      <c r="B217" s="218">
        <v>5242100000</v>
      </c>
      <c r="C217" s="220">
        <v>0</v>
      </c>
      <c r="D217" s="220">
        <v>0</v>
      </c>
      <c r="E217" s="220">
        <v>0</v>
      </c>
      <c r="F217" s="220">
        <v>0</v>
      </c>
      <c r="G217" s="220">
        <v>0</v>
      </c>
      <c r="H217" s="222">
        <v>0</v>
      </c>
      <c r="I217" s="217" t="s">
        <v>1104</v>
      </c>
      <c r="J217" s="246">
        <f>VLOOKUP(B217,'HK 20.2.2014'!B:I,8,0)</f>
        <v>0</v>
      </c>
      <c r="K217" s="224">
        <f t="shared" si="7"/>
        <v>0</v>
      </c>
    </row>
    <row r="218" spans="1:11">
      <c r="A218" s="221" t="str">
        <f t="shared" si="6"/>
        <v>524</v>
      </c>
      <c r="B218" s="218">
        <v>5242200000</v>
      </c>
      <c r="C218" s="220">
        <v>0</v>
      </c>
      <c r="D218" s="220">
        <v>0</v>
      </c>
      <c r="E218" s="220">
        <v>0</v>
      </c>
      <c r="F218" s="220">
        <v>0</v>
      </c>
      <c r="G218" s="220">
        <v>0</v>
      </c>
      <c r="H218" s="222">
        <v>0</v>
      </c>
      <c r="I218" s="217" t="s">
        <v>1105</v>
      </c>
      <c r="J218" s="246">
        <f>VLOOKUP(B218,'HK 20.2.2014'!B:I,8,0)</f>
        <v>0</v>
      </c>
      <c r="K218" s="224">
        <f t="shared" si="7"/>
        <v>0</v>
      </c>
    </row>
    <row r="219" spans="1:11">
      <c r="A219" s="221" t="str">
        <f t="shared" si="6"/>
        <v>527</v>
      </c>
      <c r="B219" s="218">
        <v>5271000000</v>
      </c>
      <c r="C219" s="220">
        <v>0</v>
      </c>
      <c r="D219" s="220">
        <v>1939.94</v>
      </c>
      <c r="E219" s="220">
        <v>0</v>
      </c>
      <c r="F219" s="220">
        <v>22328.09</v>
      </c>
      <c r="G219" s="220">
        <v>0</v>
      </c>
      <c r="H219" s="222">
        <v>22328.09</v>
      </c>
      <c r="I219" s="217" t="s">
        <v>1106</v>
      </c>
      <c r="J219" s="246">
        <f>VLOOKUP(B219,'HK 20.2.2014'!B:I,8,0)</f>
        <v>22328.09</v>
      </c>
      <c r="K219" s="224">
        <f t="shared" si="7"/>
        <v>0</v>
      </c>
    </row>
    <row r="220" spans="1:11">
      <c r="A220" s="221" t="str">
        <f t="shared" si="6"/>
        <v>527</v>
      </c>
      <c r="B220" s="218">
        <v>5272000000</v>
      </c>
      <c r="C220" s="220">
        <v>0</v>
      </c>
      <c r="D220" s="220">
        <v>1526.04</v>
      </c>
      <c r="E220" s="220">
        <v>0</v>
      </c>
      <c r="F220" s="220">
        <v>21810.3</v>
      </c>
      <c r="G220" s="220">
        <v>0</v>
      </c>
      <c r="H220" s="222">
        <v>21810.3</v>
      </c>
      <c r="I220" s="217" t="s">
        <v>1213</v>
      </c>
      <c r="J220" s="246">
        <f>VLOOKUP(B220,'HK 20.2.2014'!B:I,8,0)</f>
        <v>21810.3</v>
      </c>
      <c r="K220" s="224">
        <f t="shared" si="7"/>
        <v>0</v>
      </c>
    </row>
    <row r="221" spans="1:11">
      <c r="A221" s="221" t="str">
        <f t="shared" si="6"/>
        <v>528</v>
      </c>
      <c r="B221" s="218">
        <v>5281000000</v>
      </c>
      <c r="C221" s="220">
        <v>0</v>
      </c>
      <c r="D221" s="220">
        <v>0</v>
      </c>
      <c r="E221" s="220">
        <v>0</v>
      </c>
      <c r="F221" s="220">
        <v>841.45</v>
      </c>
      <c r="G221" s="220">
        <v>0</v>
      </c>
      <c r="H221" s="222">
        <v>841.45</v>
      </c>
      <c r="I221" s="217" t="s">
        <v>1107</v>
      </c>
      <c r="J221" s="246">
        <f>VLOOKUP(B221,'HK 20.2.2014'!B:I,8,0)</f>
        <v>841.45</v>
      </c>
      <c r="K221" s="224">
        <f t="shared" si="7"/>
        <v>0</v>
      </c>
    </row>
    <row r="222" spans="1:11">
      <c r="A222" s="221" t="str">
        <f t="shared" si="6"/>
        <v>528</v>
      </c>
      <c r="B222" s="218">
        <v>5283000000</v>
      </c>
      <c r="C222" s="220">
        <v>0</v>
      </c>
      <c r="D222" s="220">
        <v>250.67</v>
      </c>
      <c r="E222" s="220">
        <v>0</v>
      </c>
      <c r="F222" s="220">
        <v>5823.63</v>
      </c>
      <c r="G222" s="220">
        <v>0</v>
      </c>
      <c r="H222" s="222">
        <v>5823.63</v>
      </c>
      <c r="I222" s="217" t="s">
        <v>1108</v>
      </c>
      <c r="J222" s="246">
        <f>VLOOKUP(B222,'HK 20.2.2014'!B:I,8,0)</f>
        <v>5823.63</v>
      </c>
      <c r="K222" s="224">
        <f t="shared" si="7"/>
        <v>0</v>
      </c>
    </row>
    <row r="223" spans="1:11">
      <c r="A223" s="221" t="str">
        <f t="shared" si="6"/>
        <v>531</v>
      </c>
      <c r="B223" s="218">
        <v>5311000000</v>
      </c>
      <c r="C223" s="220">
        <v>0</v>
      </c>
      <c r="D223" s="220">
        <v>80.540000000000006</v>
      </c>
      <c r="E223" s="220">
        <v>0</v>
      </c>
      <c r="F223" s="220">
        <v>80.540000000000006</v>
      </c>
      <c r="G223" s="220">
        <v>0</v>
      </c>
      <c r="H223" s="222">
        <v>80.540000000000006</v>
      </c>
      <c r="I223" s="217" t="s">
        <v>1109</v>
      </c>
      <c r="J223" s="246">
        <f>VLOOKUP(B223,'HK 20.2.2014'!B:I,8,0)</f>
        <v>80.540000000000006</v>
      </c>
      <c r="K223" s="224">
        <f t="shared" si="7"/>
        <v>0</v>
      </c>
    </row>
    <row r="224" spans="1:11">
      <c r="A224" s="221" t="str">
        <f t="shared" si="6"/>
        <v>532</v>
      </c>
      <c r="B224" s="218">
        <v>5321000000</v>
      </c>
      <c r="C224" s="220">
        <v>0</v>
      </c>
      <c r="D224" s="220">
        <v>0</v>
      </c>
      <c r="E224" s="220">
        <v>0</v>
      </c>
      <c r="F224" s="220">
        <v>6086.5</v>
      </c>
      <c r="G224" s="220">
        <v>0</v>
      </c>
      <c r="H224" s="222">
        <v>6086.5</v>
      </c>
      <c r="I224" s="217" t="s">
        <v>1110</v>
      </c>
      <c r="J224" s="246">
        <f>VLOOKUP(B224,'HK 20.2.2014'!B:I,8,0)</f>
        <v>6086.5</v>
      </c>
      <c r="K224" s="224">
        <f t="shared" si="7"/>
        <v>0</v>
      </c>
    </row>
    <row r="225" spans="1:11">
      <c r="A225" s="221" t="str">
        <f t="shared" si="6"/>
        <v>541</v>
      </c>
      <c r="B225" s="218">
        <v>5411000000</v>
      </c>
      <c r="C225" s="220">
        <v>0</v>
      </c>
      <c r="D225" s="220">
        <v>0</v>
      </c>
      <c r="E225" s="220">
        <v>0</v>
      </c>
      <c r="F225" s="220">
        <v>2664.79</v>
      </c>
      <c r="G225" s="220">
        <v>0</v>
      </c>
      <c r="H225" s="222">
        <v>2664.79</v>
      </c>
      <c r="I225" s="217" t="s">
        <v>1111</v>
      </c>
      <c r="J225" s="246">
        <f>VLOOKUP(B225,'HK 20.2.2014'!B:I,8,0)</f>
        <v>2664.79</v>
      </c>
      <c r="K225" s="224">
        <f t="shared" si="7"/>
        <v>0</v>
      </c>
    </row>
    <row r="226" spans="1:11">
      <c r="A226" s="221" t="str">
        <f t="shared" ref="A226:A289" si="8">LEFT(B226,3)</f>
        <v>543</v>
      </c>
      <c r="B226" s="218">
        <v>5431000000</v>
      </c>
      <c r="C226" s="220">
        <v>0</v>
      </c>
      <c r="D226" s="220">
        <v>0</v>
      </c>
      <c r="E226" s="220">
        <v>0</v>
      </c>
      <c r="F226" s="220">
        <v>0</v>
      </c>
      <c r="G226" s="220">
        <v>0</v>
      </c>
      <c r="H226" s="222">
        <v>0</v>
      </c>
      <c r="I226" s="217" t="s">
        <v>1214</v>
      </c>
      <c r="J226" s="246">
        <f>VLOOKUP(B226,'HK 20.2.2014'!B:I,8,0)</f>
        <v>0</v>
      </c>
      <c r="K226" s="224">
        <f t="shared" si="7"/>
        <v>0</v>
      </c>
    </row>
    <row r="227" spans="1:11">
      <c r="A227" s="221" t="str">
        <f t="shared" si="8"/>
        <v>544</v>
      </c>
      <c r="B227" s="218">
        <v>5442000000</v>
      </c>
      <c r="C227" s="220">
        <v>0</v>
      </c>
      <c r="D227" s="220">
        <v>0</v>
      </c>
      <c r="E227" s="220">
        <v>0</v>
      </c>
      <c r="F227" s="220">
        <v>5221</v>
      </c>
      <c r="G227" s="220">
        <v>0</v>
      </c>
      <c r="H227" s="222">
        <v>5221</v>
      </c>
      <c r="I227" s="217" t="s">
        <v>1112</v>
      </c>
      <c r="J227" s="246">
        <f>VLOOKUP(B227,'HK 20.2.2014'!B:I,8,0)</f>
        <v>5221</v>
      </c>
      <c r="K227" s="224">
        <f t="shared" si="7"/>
        <v>0</v>
      </c>
    </row>
    <row r="228" spans="1:11">
      <c r="A228" s="221" t="str">
        <f t="shared" si="8"/>
        <v>544</v>
      </c>
      <c r="B228" s="218">
        <v>5443000000</v>
      </c>
      <c r="C228" s="220">
        <v>0</v>
      </c>
      <c r="D228" s="220">
        <v>-227.57</v>
      </c>
      <c r="E228" s="220">
        <v>0</v>
      </c>
      <c r="F228" s="220">
        <v>17859.25</v>
      </c>
      <c r="G228" s="220">
        <v>0</v>
      </c>
      <c r="H228" s="222">
        <v>17859.25</v>
      </c>
      <c r="I228" s="217" t="s">
        <v>1113</v>
      </c>
      <c r="J228" s="246">
        <f>VLOOKUP(B228,'HK 20.2.2014'!B:I,8,0)</f>
        <v>17859.25</v>
      </c>
      <c r="K228" s="224">
        <f t="shared" si="7"/>
        <v>0</v>
      </c>
    </row>
    <row r="229" spans="1:11">
      <c r="A229" s="221" t="str">
        <f t="shared" si="8"/>
        <v>544</v>
      </c>
      <c r="B229" s="218">
        <v>5444000000</v>
      </c>
      <c r="C229" s="220">
        <v>0</v>
      </c>
      <c r="D229" s="220">
        <v>0</v>
      </c>
      <c r="E229" s="220">
        <v>0</v>
      </c>
      <c r="F229" s="220">
        <v>1273.97</v>
      </c>
      <c r="G229" s="220">
        <v>0</v>
      </c>
      <c r="H229" s="222">
        <v>1273.97</v>
      </c>
      <c r="I229" s="217" t="s">
        <v>1114</v>
      </c>
      <c r="J229" s="246">
        <f>VLOOKUP(B229,'HK 20.2.2014'!B:I,8,0)</f>
        <v>1273.97</v>
      </c>
      <c r="K229" s="224">
        <f t="shared" si="7"/>
        <v>0</v>
      </c>
    </row>
    <row r="230" spans="1:11">
      <c r="A230" s="221" t="str">
        <f t="shared" si="8"/>
        <v>544</v>
      </c>
      <c r="B230" s="218">
        <v>5445000000</v>
      </c>
      <c r="C230" s="220">
        <v>0</v>
      </c>
      <c r="D230" s="220">
        <v>1198.79</v>
      </c>
      <c r="E230" s="220">
        <v>0</v>
      </c>
      <c r="F230" s="220">
        <v>3163.42</v>
      </c>
      <c r="G230" s="220">
        <v>0</v>
      </c>
      <c r="H230" s="222">
        <v>3163.42</v>
      </c>
      <c r="I230" s="217" t="s">
        <v>1115</v>
      </c>
      <c r="J230" s="246">
        <f>VLOOKUP(B230,'HK 20.2.2014'!B:I,8,0)</f>
        <v>3163.42</v>
      </c>
      <c r="K230" s="224">
        <f t="shared" si="7"/>
        <v>0</v>
      </c>
    </row>
    <row r="231" spans="1:11">
      <c r="A231" s="221" t="str">
        <f t="shared" si="8"/>
        <v>546</v>
      </c>
      <c r="B231" s="218">
        <v>5461000000</v>
      </c>
      <c r="C231" s="220">
        <v>0</v>
      </c>
      <c r="D231" s="220">
        <v>38.03</v>
      </c>
      <c r="E231" s="220">
        <v>0</v>
      </c>
      <c r="F231" s="220">
        <v>38.03</v>
      </c>
      <c r="G231" s="220">
        <v>0</v>
      </c>
      <c r="H231" s="222">
        <v>38.03</v>
      </c>
      <c r="I231" s="217" t="s">
        <v>1215</v>
      </c>
      <c r="J231" s="246">
        <f>VLOOKUP(B231,'HK 20.2.2014'!B:I,8,0)</f>
        <v>38.03</v>
      </c>
      <c r="K231" s="224">
        <f t="shared" si="7"/>
        <v>0</v>
      </c>
    </row>
    <row r="232" spans="1:11">
      <c r="A232" s="221" t="str">
        <f t="shared" si="8"/>
        <v>547</v>
      </c>
      <c r="B232" s="218">
        <v>5471000000</v>
      </c>
      <c r="C232" s="220">
        <v>0</v>
      </c>
      <c r="D232" s="220">
        <v>100</v>
      </c>
      <c r="E232" s="220">
        <v>0</v>
      </c>
      <c r="F232" s="220">
        <v>300</v>
      </c>
      <c r="G232" s="220">
        <v>0</v>
      </c>
      <c r="H232" s="222">
        <v>300</v>
      </c>
      <c r="I232" s="217" t="s">
        <v>1116</v>
      </c>
      <c r="J232" s="246">
        <f>VLOOKUP(B232,'HK 20.2.2014'!B:I,8,0)</f>
        <v>300</v>
      </c>
      <c r="K232" s="224">
        <f t="shared" si="7"/>
        <v>0</v>
      </c>
    </row>
    <row r="233" spans="1:11">
      <c r="A233" s="221" t="str">
        <f t="shared" si="8"/>
        <v>549</v>
      </c>
      <c r="B233" s="218">
        <v>5491000000</v>
      </c>
      <c r="C233" s="220">
        <v>0</v>
      </c>
      <c r="D233" s="220">
        <v>20.92</v>
      </c>
      <c r="E233" s="220">
        <v>0</v>
      </c>
      <c r="F233" s="220">
        <v>292.82</v>
      </c>
      <c r="G233" s="220">
        <v>0</v>
      </c>
      <c r="H233" s="222">
        <v>292.82</v>
      </c>
      <c r="I233" s="217" t="s">
        <v>1117</v>
      </c>
      <c r="J233" s="246">
        <f>VLOOKUP(B233,'HK 20.2.2014'!B:I,8,0)</f>
        <v>292.82</v>
      </c>
      <c r="K233" s="224">
        <f t="shared" si="7"/>
        <v>0</v>
      </c>
    </row>
    <row r="234" spans="1:11">
      <c r="A234" s="221" t="str">
        <f t="shared" si="8"/>
        <v>549</v>
      </c>
      <c r="B234" s="218">
        <v>5492000000</v>
      </c>
      <c r="C234" s="220">
        <v>0</v>
      </c>
      <c r="D234" s="220">
        <v>0</v>
      </c>
      <c r="E234" s="220">
        <v>0</v>
      </c>
      <c r="F234" s="220">
        <v>9020.1200000000008</v>
      </c>
      <c r="G234" s="220">
        <v>0</v>
      </c>
      <c r="H234" s="222">
        <v>9020.1200000000008</v>
      </c>
      <c r="I234" s="217" t="s">
        <v>1118</v>
      </c>
      <c r="J234" s="246">
        <f>VLOOKUP(B234,'HK 20.2.2014'!B:I,8,0)</f>
        <v>9020.1200000000008</v>
      </c>
      <c r="K234" s="224">
        <f t="shared" si="7"/>
        <v>0</v>
      </c>
    </row>
    <row r="235" spans="1:11">
      <c r="A235" s="221" t="str">
        <f t="shared" si="8"/>
        <v>549</v>
      </c>
      <c r="B235" s="218">
        <v>5495000000</v>
      </c>
      <c r="C235" s="220">
        <v>0</v>
      </c>
      <c r="D235" s="220">
        <v>0.71</v>
      </c>
      <c r="E235" s="220">
        <v>0</v>
      </c>
      <c r="F235" s="220">
        <v>2.29</v>
      </c>
      <c r="G235" s="220">
        <v>0</v>
      </c>
      <c r="H235" s="222">
        <v>2.29</v>
      </c>
      <c r="I235" s="217" t="s">
        <v>1119</v>
      </c>
      <c r="J235" s="246">
        <f>VLOOKUP(B235,'HK 20.2.2014'!B:I,8,0)</f>
        <v>2.29</v>
      </c>
      <c r="K235" s="224">
        <f t="shared" si="7"/>
        <v>0</v>
      </c>
    </row>
    <row r="236" spans="1:11">
      <c r="A236" s="221" t="str">
        <f t="shared" si="8"/>
        <v>549</v>
      </c>
      <c r="B236" s="218">
        <v>5497000000</v>
      </c>
      <c r="C236" s="220">
        <v>0</v>
      </c>
      <c r="D236" s="220">
        <v>0</v>
      </c>
      <c r="E236" s="220">
        <v>0</v>
      </c>
      <c r="F236" s="220">
        <v>1478.03</v>
      </c>
      <c r="G236" s="220">
        <v>0</v>
      </c>
      <c r="H236" s="222">
        <v>1478.03</v>
      </c>
      <c r="I236" s="217" t="s">
        <v>1120</v>
      </c>
      <c r="J236" s="246">
        <f>VLOOKUP(B236,'HK 20.2.2014'!B:I,8,0)</f>
        <v>1478.03</v>
      </c>
      <c r="K236" s="224">
        <f t="shared" si="7"/>
        <v>0</v>
      </c>
    </row>
    <row r="237" spans="1:11">
      <c r="A237" s="221" t="str">
        <f t="shared" si="8"/>
        <v>549</v>
      </c>
      <c r="B237" s="218">
        <v>5498000000</v>
      </c>
      <c r="C237" s="220">
        <v>0</v>
      </c>
      <c r="D237" s="220">
        <v>670.3</v>
      </c>
      <c r="E237" s="220">
        <v>0</v>
      </c>
      <c r="F237" s="220">
        <v>670.3</v>
      </c>
      <c r="G237" s="220">
        <v>0</v>
      </c>
      <c r="H237" s="222">
        <v>670.3</v>
      </c>
      <c r="I237" s="217" t="s">
        <v>1121</v>
      </c>
      <c r="J237" s="246">
        <f>VLOOKUP(B237,'HK 20.2.2014'!B:I,8,0)</f>
        <v>670.3</v>
      </c>
      <c r="K237" s="224">
        <f t="shared" si="7"/>
        <v>0</v>
      </c>
    </row>
    <row r="238" spans="1:11">
      <c r="A238" s="221" t="str">
        <f t="shared" si="8"/>
        <v>549</v>
      </c>
      <c r="B238" s="218">
        <v>5499100000</v>
      </c>
      <c r="C238" s="220">
        <v>0</v>
      </c>
      <c r="D238" s="220">
        <v>0.2</v>
      </c>
      <c r="E238" s="220">
        <v>0</v>
      </c>
      <c r="F238" s="220">
        <v>573.92999999999995</v>
      </c>
      <c r="G238" s="220">
        <v>0</v>
      </c>
      <c r="H238" s="222">
        <v>573.92999999999995</v>
      </c>
      <c r="I238" s="217" t="s">
        <v>1122</v>
      </c>
      <c r="J238" s="246">
        <f>VLOOKUP(B238,'HK 20.2.2014'!B:I,8,0)</f>
        <v>573.92999999999995</v>
      </c>
      <c r="K238" s="224">
        <f t="shared" si="7"/>
        <v>0</v>
      </c>
    </row>
    <row r="239" spans="1:11">
      <c r="A239" s="221" t="str">
        <f t="shared" si="8"/>
        <v>549</v>
      </c>
      <c r="B239" s="218">
        <v>5499200000</v>
      </c>
      <c r="C239" s="220">
        <v>0</v>
      </c>
      <c r="D239" s="220">
        <v>136.75</v>
      </c>
      <c r="E239" s="220">
        <v>0</v>
      </c>
      <c r="F239" s="220">
        <v>6431.38</v>
      </c>
      <c r="G239" s="220">
        <v>0</v>
      </c>
      <c r="H239" s="222">
        <v>6431.38</v>
      </c>
      <c r="I239" s="217" t="s">
        <v>1123</v>
      </c>
      <c r="J239" s="246">
        <f>VLOOKUP(B239,'HK 20.2.2014'!B:I,8,0)</f>
        <v>6431.38</v>
      </c>
      <c r="K239" s="224">
        <f t="shared" si="7"/>
        <v>0</v>
      </c>
    </row>
    <row r="240" spans="1:11">
      <c r="A240" s="221" t="str">
        <f t="shared" si="8"/>
        <v>549</v>
      </c>
      <c r="B240" s="218">
        <v>5499300000</v>
      </c>
      <c r="C240" s="220">
        <v>0</v>
      </c>
      <c r="D240" s="220">
        <v>8.5</v>
      </c>
      <c r="E240" s="220">
        <v>0</v>
      </c>
      <c r="F240" s="220">
        <v>1081.58</v>
      </c>
      <c r="G240" s="220">
        <v>0</v>
      </c>
      <c r="H240" s="222">
        <v>1081.58</v>
      </c>
      <c r="I240" s="217" t="s">
        <v>1124</v>
      </c>
      <c r="J240" s="246">
        <f>VLOOKUP(B240,'HK 20.2.2014'!B:I,8,0)</f>
        <v>1081.58</v>
      </c>
      <c r="K240" s="224">
        <f t="shared" si="7"/>
        <v>0</v>
      </c>
    </row>
    <row r="241" spans="1:11">
      <c r="A241" s="221" t="str">
        <f t="shared" si="8"/>
        <v>549</v>
      </c>
      <c r="B241" s="218">
        <v>5499400000</v>
      </c>
      <c r="C241" s="220">
        <v>0</v>
      </c>
      <c r="D241" s="220">
        <v>101.81</v>
      </c>
      <c r="E241" s="220">
        <v>0</v>
      </c>
      <c r="F241" s="220">
        <v>1663.81</v>
      </c>
      <c r="G241" s="220">
        <v>0</v>
      </c>
      <c r="H241" s="222">
        <v>1663.81</v>
      </c>
      <c r="I241" s="217" t="s">
        <v>1125</v>
      </c>
      <c r="J241" s="246">
        <f>VLOOKUP(B241,'HK 20.2.2014'!B:I,8,0)</f>
        <v>1663.81</v>
      </c>
      <c r="K241" s="224">
        <f t="shared" si="7"/>
        <v>0</v>
      </c>
    </row>
    <row r="242" spans="1:11">
      <c r="A242" s="221" t="str">
        <f t="shared" si="8"/>
        <v>549</v>
      </c>
      <c r="B242" s="218">
        <v>5499700000</v>
      </c>
      <c r="C242" s="220">
        <v>0</v>
      </c>
      <c r="D242" s="220">
        <v>-6959.21</v>
      </c>
      <c r="E242" s="220">
        <v>0</v>
      </c>
      <c r="F242" s="220">
        <v>-6959.21</v>
      </c>
      <c r="G242" s="220">
        <v>0</v>
      </c>
      <c r="H242" s="222">
        <v>-6959.21</v>
      </c>
      <c r="I242" s="217" t="s">
        <v>1126</v>
      </c>
      <c r="J242" s="246">
        <f>VLOOKUP(B242,'HK 20.2.2014'!B:I,8,0)</f>
        <v>-6959.21</v>
      </c>
      <c r="K242" s="224">
        <f t="shared" si="7"/>
        <v>0</v>
      </c>
    </row>
    <row r="243" spans="1:11">
      <c r="A243" s="221" t="str">
        <f t="shared" si="8"/>
        <v>551</v>
      </c>
      <c r="B243" s="218">
        <v>5511100000</v>
      </c>
      <c r="C243" s="220">
        <v>0</v>
      </c>
      <c r="D243" s="220">
        <v>5021.93</v>
      </c>
      <c r="E243" s="220">
        <v>0</v>
      </c>
      <c r="F243" s="220">
        <v>45731.31</v>
      </c>
      <c r="G243" s="220">
        <v>0</v>
      </c>
      <c r="H243" s="222">
        <v>45731.31</v>
      </c>
      <c r="I243" s="217" t="s">
        <v>1127</v>
      </c>
      <c r="J243" s="246">
        <f>VLOOKUP(B243,'HK 20.2.2014'!B:I,8,0)</f>
        <v>45731.31</v>
      </c>
      <c r="K243" s="224">
        <f t="shared" si="7"/>
        <v>0</v>
      </c>
    </row>
    <row r="244" spans="1:11">
      <c r="A244" s="221" t="str">
        <f t="shared" si="8"/>
        <v>551</v>
      </c>
      <c r="B244" s="218">
        <v>5511200000</v>
      </c>
      <c r="C244" s="220">
        <v>0</v>
      </c>
      <c r="D244" s="220">
        <v>3947.03</v>
      </c>
      <c r="E244" s="220">
        <v>0</v>
      </c>
      <c r="F244" s="220">
        <v>25594.09</v>
      </c>
      <c r="G244" s="220">
        <v>0</v>
      </c>
      <c r="H244" s="222">
        <v>25594.09</v>
      </c>
      <c r="I244" s="217" t="s">
        <v>1128</v>
      </c>
      <c r="J244" s="246">
        <f>VLOOKUP(B244,'HK 20.2.2014'!B:I,8,0)</f>
        <v>25560.73</v>
      </c>
      <c r="K244" s="224">
        <f t="shared" si="7"/>
        <v>-33.360000000000582</v>
      </c>
    </row>
    <row r="245" spans="1:11">
      <c r="A245" s="221" t="str">
        <f t="shared" si="8"/>
        <v>558</v>
      </c>
      <c r="B245" s="218">
        <v>5582000000</v>
      </c>
      <c r="C245" s="220">
        <v>0</v>
      </c>
      <c r="D245" s="220">
        <v>-29036</v>
      </c>
      <c r="E245" s="220">
        <v>0</v>
      </c>
      <c r="F245" s="220">
        <v>-29036</v>
      </c>
      <c r="G245" s="220">
        <v>0</v>
      </c>
      <c r="H245" s="222">
        <v>-29036</v>
      </c>
      <c r="I245" s="217" t="s">
        <v>1129</v>
      </c>
      <c r="J245" s="246">
        <f>VLOOKUP(B245,'HK 20.2.2014'!B:I,8,0)</f>
        <v>-29036</v>
      </c>
      <c r="K245" s="224">
        <f t="shared" si="7"/>
        <v>0</v>
      </c>
    </row>
    <row r="246" spans="1:11">
      <c r="A246" s="221" t="str">
        <f t="shared" si="8"/>
        <v>562</v>
      </c>
      <c r="B246" s="218">
        <v>5621000000</v>
      </c>
      <c r="C246" s="220">
        <v>0</v>
      </c>
      <c r="D246" s="220">
        <v>0</v>
      </c>
      <c r="E246" s="220">
        <v>0</v>
      </c>
      <c r="F246" s="220">
        <v>534.33000000000004</v>
      </c>
      <c r="G246" s="220">
        <v>0</v>
      </c>
      <c r="H246" s="222">
        <v>534.33000000000004</v>
      </c>
      <c r="I246" s="217" t="s">
        <v>1130</v>
      </c>
      <c r="J246" s="246">
        <f>VLOOKUP(B246,'HK 20.2.2014'!B:I,8,0)</f>
        <v>534.33000000000004</v>
      </c>
      <c r="K246" s="224">
        <f t="shared" si="7"/>
        <v>0</v>
      </c>
    </row>
    <row r="247" spans="1:11">
      <c r="A247" s="221" t="str">
        <f t="shared" si="8"/>
        <v>591</v>
      </c>
      <c r="B247" s="218">
        <v>5913000000</v>
      </c>
      <c r="C247" s="220">
        <v>0</v>
      </c>
      <c r="D247" s="220">
        <v>0</v>
      </c>
      <c r="E247" s="220">
        <v>0</v>
      </c>
      <c r="F247" s="220">
        <v>0.92</v>
      </c>
      <c r="G247" s="220">
        <v>0</v>
      </c>
      <c r="H247" s="222">
        <v>0.92</v>
      </c>
      <c r="I247" s="217" t="s">
        <v>1131</v>
      </c>
      <c r="J247" s="246">
        <f>VLOOKUP(B247,'HK 20.2.2014'!B:I,8,0)</f>
        <v>0.92</v>
      </c>
      <c r="K247" s="224">
        <f t="shared" si="7"/>
        <v>0</v>
      </c>
    </row>
    <row r="248" spans="1:11">
      <c r="A248" s="221" t="str">
        <f t="shared" si="8"/>
        <v>602</v>
      </c>
      <c r="B248" s="218">
        <v>6021110000</v>
      </c>
      <c r="C248" s="220">
        <v>0</v>
      </c>
      <c r="D248" s="220">
        <v>0</v>
      </c>
      <c r="E248" s="220">
        <v>1157.76</v>
      </c>
      <c r="F248" s="220">
        <v>0</v>
      </c>
      <c r="G248" s="220">
        <v>15684.71</v>
      </c>
      <c r="H248" s="222">
        <v>-15684.71</v>
      </c>
      <c r="I248" s="217" t="s">
        <v>1132</v>
      </c>
      <c r="J248" s="246">
        <f>VLOOKUP(B248,'HK 20.2.2014'!B:I,8,0)</f>
        <v>-15684.71</v>
      </c>
      <c r="K248" s="224">
        <f t="shared" si="7"/>
        <v>0</v>
      </c>
    </row>
    <row r="249" spans="1:11">
      <c r="A249" s="221" t="str">
        <f t="shared" si="8"/>
        <v>602</v>
      </c>
      <c r="B249" s="218">
        <v>6021120000</v>
      </c>
      <c r="C249" s="220">
        <v>0</v>
      </c>
      <c r="D249" s="220">
        <v>0</v>
      </c>
      <c r="E249" s="220">
        <v>0</v>
      </c>
      <c r="F249" s="220">
        <v>0</v>
      </c>
      <c r="G249" s="220">
        <v>29974.98</v>
      </c>
      <c r="H249" s="222">
        <v>-29974.98</v>
      </c>
      <c r="I249" s="217" t="s">
        <v>1133</v>
      </c>
      <c r="J249" s="246">
        <f>VLOOKUP(B249,'HK 20.2.2014'!B:I,8,0)</f>
        <v>-29974.98</v>
      </c>
      <c r="K249" s="224">
        <f t="shared" si="7"/>
        <v>0</v>
      </c>
    </row>
    <row r="250" spans="1:11">
      <c r="A250" s="221" t="str">
        <f t="shared" si="8"/>
        <v>602</v>
      </c>
      <c r="B250" s="218">
        <v>6021220000</v>
      </c>
      <c r="C250" s="220">
        <v>0</v>
      </c>
      <c r="D250" s="220">
        <v>0</v>
      </c>
      <c r="E250" s="220">
        <v>0</v>
      </c>
      <c r="F250" s="220">
        <v>0</v>
      </c>
      <c r="G250" s="220">
        <v>940.49</v>
      </c>
      <c r="H250" s="222">
        <v>-940.49</v>
      </c>
      <c r="I250" s="217" t="s">
        <v>1134</v>
      </c>
      <c r="J250" s="246">
        <f>VLOOKUP(B250,'HK 20.2.2014'!B:I,8,0)</f>
        <v>-940.49</v>
      </c>
      <c r="K250" s="224">
        <f t="shared" si="7"/>
        <v>0</v>
      </c>
    </row>
    <row r="251" spans="1:11">
      <c r="A251" s="221" t="str">
        <f t="shared" si="8"/>
        <v>602</v>
      </c>
      <c r="B251" s="218">
        <v>6021240000</v>
      </c>
      <c r="C251" s="220">
        <v>0</v>
      </c>
      <c r="D251" s="220">
        <v>0</v>
      </c>
      <c r="E251" s="220">
        <v>0</v>
      </c>
      <c r="F251" s="220">
        <v>0</v>
      </c>
      <c r="G251" s="220">
        <v>600</v>
      </c>
      <c r="H251" s="222">
        <v>-600</v>
      </c>
      <c r="I251" s="217" t="s">
        <v>1135</v>
      </c>
      <c r="J251" s="246">
        <f>VLOOKUP(B251,'HK 20.2.2014'!B:I,8,0)</f>
        <v>-600</v>
      </c>
      <c r="K251" s="224">
        <f t="shared" si="7"/>
        <v>0</v>
      </c>
    </row>
    <row r="252" spans="1:11">
      <c r="A252" s="221" t="str">
        <f t="shared" si="8"/>
        <v>602</v>
      </c>
      <c r="B252" s="218">
        <v>6021260000</v>
      </c>
      <c r="C252" s="220">
        <v>0</v>
      </c>
      <c r="D252" s="220">
        <v>0</v>
      </c>
      <c r="E252" s="220">
        <v>0</v>
      </c>
      <c r="F252" s="220">
        <v>0</v>
      </c>
      <c r="G252" s="220">
        <v>0</v>
      </c>
      <c r="H252" s="222">
        <v>0</v>
      </c>
      <c r="I252" s="217" t="s">
        <v>1136</v>
      </c>
      <c r="J252" s="246">
        <f>VLOOKUP(B252,'HK 20.2.2014'!B:I,8,0)</f>
        <v>0</v>
      </c>
      <c r="K252" s="224">
        <f t="shared" si="7"/>
        <v>0</v>
      </c>
    </row>
    <row r="253" spans="1:11">
      <c r="A253" s="221" t="str">
        <f t="shared" si="8"/>
        <v>602</v>
      </c>
      <c r="B253" s="218">
        <v>6021280000</v>
      </c>
      <c r="C253" s="220">
        <v>0</v>
      </c>
      <c r="D253" s="220">
        <v>0</v>
      </c>
      <c r="E253" s="220">
        <v>0</v>
      </c>
      <c r="F253" s="220">
        <v>0</v>
      </c>
      <c r="G253" s="220">
        <v>55.22</v>
      </c>
      <c r="H253" s="222">
        <v>-55.22</v>
      </c>
      <c r="I253" s="217" t="s">
        <v>1137</v>
      </c>
      <c r="J253" s="246">
        <f>VLOOKUP(B253,'HK 20.2.2014'!B:I,8,0)</f>
        <v>-55.22</v>
      </c>
      <c r="K253" s="224">
        <f t="shared" si="7"/>
        <v>0</v>
      </c>
    </row>
    <row r="254" spans="1:11">
      <c r="A254" s="221" t="str">
        <f t="shared" si="8"/>
        <v>602</v>
      </c>
      <c r="B254" s="218">
        <v>6021320000</v>
      </c>
      <c r="C254" s="220">
        <v>0</v>
      </c>
      <c r="D254" s="220">
        <v>0</v>
      </c>
      <c r="E254" s="220">
        <v>0</v>
      </c>
      <c r="F254" s="220">
        <v>0</v>
      </c>
      <c r="G254" s="220">
        <v>509.93</v>
      </c>
      <c r="H254" s="222">
        <v>-509.93</v>
      </c>
      <c r="I254" s="217" t="s">
        <v>1138</v>
      </c>
      <c r="J254" s="246">
        <f>VLOOKUP(B254,'HK 20.2.2014'!B:I,8,0)</f>
        <v>-509.93</v>
      </c>
      <c r="K254" s="224">
        <f t="shared" si="7"/>
        <v>0</v>
      </c>
    </row>
    <row r="255" spans="1:11">
      <c r="A255" s="221" t="str">
        <f t="shared" si="8"/>
        <v>602</v>
      </c>
      <c r="B255" s="218">
        <v>6021520000</v>
      </c>
      <c r="C255" s="220">
        <v>0</v>
      </c>
      <c r="D255" s="220">
        <v>0</v>
      </c>
      <c r="E255" s="220">
        <v>126.87</v>
      </c>
      <c r="F255" s="220">
        <v>119.25</v>
      </c>
      <c r="G255" s="220">
        <v>3075.11</v>
      </c>
      <c r="H255" s="222">
        <v>-2955.86</v>
      </c>
      <c r="I255" s="217" t="s">
        <v>1139</v>
      </c>
      <c r="J255" s="246">
        <f>VLOOKUP(B255,'HK 20.2.2014'!B:I,8,0)</f>
        <v>-2955.86</v>
      </c>
      <c r="K255" s="224">
        <f t="shared" si="7"/>
        <v>0</v>
      </c>
    </row>
    <row r="256" spans="1:11">
      <c r="A256" s="221" t="str">
        <f t="shared" si="8"/>
        <v>602</v>
      </c>
      <c r="B256" s="218">
        <v>6021620000</v>
      </c>
      <c r="C256" s="220">
        <v>0</v>
      </c>
      <c r="D256" s="220">
        <v>0</v>
      </c>
      <c r="E256" s="220">
        <v>0</v>
      </c>
      <c r="F256" s="220">
        <v>0</v>
      </c>
      <c r="G256" s="220">
        <v>43</v>
      </c>
      <c r="H256" s="222">
        <v>-43</v>
      </c>
      <c r="I256" s="217" t="s">
        <v>1140</v>
      </c>
      <c r="J256" s="246">
        <f>VLOOKUP(B256,'HK 20.2.2014'!B:I,8,0)</f>
        <v>-43</v>
      </c>
      <c r="K256" s="224">
        <f t="shared" si="7"/>
        <v>0</v>
      </c>
    </row>
    <row r="257" spans="1:11">
      <c r="A257" s="221" t="str">
        <f t="shared" si="8"/>
        <v>602</v>
      </c>
      <c r="B257" s="218">
        <v>6021810000</v>
      </c>
      <c r="C257" s="220">
        <v>0</v>
      </c>
      <c r="D257" s="220">
        <v>0</v>
      </c>
      <c r="E257" s="220">
        <v>210.97</v>
      </c>
      <c r="F257" s="220">
        <v>0</v>
      </c>
      <c r="G257" s="220">
        <v>1566.91</v>
      </c>
      <c r="H257" s="222">
        <v>-1566.91</v>
      </c>
      <c r="I257" s="217" t="s">
        <v>1141</v>
      </c>
      <c r="J257" s="246">
        <f>VLOOKUP(B257,'HK 20.2.2014'!B:I,8,0)</f>
        <v>-1566.91</v>
      </c>
      <c r="K257" s="224">
        <f t="shared" si="7"/>
        <v>0</v>
      </c>
    </row>
    <row r="258" spans="1:11">
      <c r="A258" s="221" t="str">
        <f t="shared" si="8"/>
        <v>602</v>
      </c>
      <c r="B258" s="218">
        <v>6021920000</v>
      </c>
      <c r="C258" s="220">
        <v>0</v>
      </c>
      <c r="D258" s="220">
        <v>0</v>
      </c>
      <c r="E258" s="220">
        <v>-1404.84</v>
      </c>
      <c r="F258" s="220">
        <v>0</v>
      </c>
      <c r="G258" s="220">
        <v>25281.81</v>
      </c>
      <c r="H258" s="222">
        <v>-25281.81</v>
      </c>
      <c r="I258" s="217" t="s">
        <v>1142</v>
      </c>
      <c r="J258" s="246">
        <f>VLOOKUP(B258,'HK 20.2.2014'!B:I,8,0)</f>
        <v>-25281.81</v>
      </c>
      <c r="K258" s="224">
        <f t="shared" ref="K258:K313" si="9">J258-H258</f>
        <v>0</v>
      </c>
    </row>
    <row r="259" spans="1:11">
      <c r="A259" s="221" t="str">
        <f t="shared" si="8"/>
        <v>602</v>
      </c>
      <c r="B259" s="218">
        <v>6021940000</v>
      </c>
      <c r="C259" s="220">
        <v>0</v>
      </c>
      <c r="D259" s="220">
        <v>0</v>
      </c>
      <c r="E259" s="220">
        <v>3345.91</v>
      </c>
      <c r="F259" s="220">
        <v>0</v>
      </c>
      <c r="G259" s="220">
        <v>18074.54</v>
      </c>
      <c r="H259" s="222">
        <v>-18074.54</v>
      </c>
      <c r="I259" s="217" t="s">
        <v>1143</v>
      </c>
      <c r="J259" s="246">
        <f>VLOOKUP(B259,'HK 20.2.2014'!B:I,8,0)</f>
        <v>-18074.54</v>
      </c>
      <c r="K259" s="224">
        <f t="shared" si="9"/>
        <v>0</v>
      </c>
    </row>
    <row r="260" spans="1:11">
      <c r="A260" s="221" t="str">
        <f t="shared" si="8"/>
        <v>602</v>
      </c>
      <c r="B260" s="218">
        <v>6021950000</v>
      </c>
      <c r="C260" s="220">
        <v>0</v>
      </c>
      <c r="D260" s="220">
        <v>0</v>
      </c>
      <c r="E260" s="220">
        <v>0</v>
      </c>
      <c r="F260" s="220">
        <v>0</v>
      </c>
      <c r="G260" s="220">
        <v>1.67</v>
      </c>
      <c r="H260" s="222">
        <v>-1.67</v>
      </c>
      <c r="I260" s="217" t="s">
        <v>1144</v>
      </c>
      <c r="J260" s="246">
        <f>VLOOKUP(B260,'HK 20.2.2014'!B:I,8,0)</f>
        <v>-1.67</v>
      </c>
      <c r="K260" s="224">
        <f t="shared" si="9"/>
        <v>0</v>
      </c>
    </row>
    <row r="261" spans="1:11">
      <c r="A261" s="221" t="str">
        <f t="shared" si="8"/>
        <v>602</v>
      </c>
      <c r="B261" s="218">
        <v>6021960000</v>
      </c>
      <c r="C261" s="220">
        <v>0</v>
      </c>
      <c r="D261" s="220">
        <v>0</v>
      </c>
      <c r="E261" s="220">
        <v>2694</v>
      </c>
      <c r="F261" s="220">
        <v>0</v>
      </c>
      <c r="G261" s="220">
        <v>15140.64</v>
      </c>
      <c r="H261" s="222">
        <v>-15140.64</v>
      </c>
      <c r="I261" s="217" t="s">
        <v>1145</v>
      </c>
      <c r="J261" s="246">
        <f>VLOOKUP(B261,'HK 20.2.2014'!B:I,8,0)</f>
        <v>-15140.64</v>
      </c>
      <c r="K261" s="224">
        <f t="shared" si="9"/>
        <v>0</v>
      </c>
    </row>
    <row r="262" spans="1:11">
      <c r="A262" s="221" t="str">
        <f t="shared" si="8"/>
        <v>602</v>
      </c>
      <c r="B262" s="218">
        <v>6021990000</v>
      </c>
      <c r="C262" s="220">
        <v>0</v>
      </c>
      <c r="D262" s="220">
        <v>0</v>
      </c>
      <c r="E262" s="220">
        <v>1889.84</v>
      </c>
      <c r="F262" s="220">
        <v>0</v>
      </c>
      <c r="G262" s="220">
        <v>11023.99</v>
      </c>
      <c r="H262" s="222">
        <v>-11023.99</v>
      </c>
      <c r="I262" s="217" t="s">
        <v>1146</v>
      </c>
      <c r="J262" s="246">
        <f>VLOOKUP(B262,'HK 20.2.2014'!B:I,8,0)</f>
        <v>-9443.15</v>
      </c>
      <c r="K262" s="224">
        <f t="shared" si="9"/>
        <v>1580.8400000000001</v>
      </c>
    </row>
    <row r="263" spans="1:11">
      <c r="A263" s="221" t="str">
        <f t="shared" si="8"/>
        <v>602</v>
      </c>
      <c r="B263" s="218">
        <v>6022000000</v>
      </c>
      <c r="C263" s="220">
        <v>0</v>
      </c>
      <c r="D263" s="220">
        <v>0</v>
      </c>
      <c r="E263" s="220">
        <v>18975</v>
      </c>
      <c r="F263" s="220">
        <v>0</v>
      </c>
      <c r="G263" s="220">
        <v>227700</v>
      </c>
      <c r="H263" s="222">
        <v>-227700</v>
      </c>
      <c r="I263" s="217" t="s">
        <v>1147</v>
      </c>
      <c r="J263" s="246">
        <f>VLOOKUP(B263,'HK 20.2.2014'!B:I,8,0)</f>
        <v>-227700</v>
      </c>
      <c r="K263" s="224">
        <f t="shared" si="9"/>
        <v>0</v>
      </c>
    </row>
    <row r="264" spans="1:11">
      <c r="A264" s="221" t="str">
        <f t="shared" si="8"/>
        <v>602</v>
      </c>
      <c r="B264" s="218">
        <v>6022010000</v>
      </c>
      <c r="C264" s="220">
        <v>0</v>
      </c>
      <c r="D264" s="220">
        <v>0</v>
      </c>
      <c r="E264" s="220">
        <v>1503.1</v>
      </c>
      <c r="F264" s="220">
        <v>0</v>
      </c>
      <c r="G264" s="220">
        <v>3367.42</v>
      </c>
      <c r="H264" s="222">
        <v>-3367.42</v>
      </c>
      <c r="I264" s="217" t="s">
        <v>1148</v>
      </c>
      <c r="J264" s="246">
        <f>VLOOKUP(B264,'HK 20.2.2014'!B:I,8,0)</f>
        <v>-3367.42</v>
      </c>
      <c r="K264" s="224">
        <f t="shared" si="9"/>
        <v>0</v>
      </c>
    </row>
    <row r="265" spans="1:11">
      <c r="A265" s="221" t="str">
        <f t="shared" si="8"/>
        <v>602</v>
      </c>
      <c r="B265" s="218">
        <v>6022100000</v>
      </c>
      <c r="C265" s="220">
        <v>0</v>
      </c>
      <c r="D265" s="220">
        <v>0</v>
      </c>
      <c r="E265" s="220">
        <v>50</v>
      </c>
      <c r="F265" s="220">
        <v>0</v>
      </c>
      <c r="G265" s="220">
        <v>213.86</v>
      </c>
      <c r="H265" s="222">
        <v>-213.86</v>
      </c>
      <c r="I265" s="217" t="s">
        <v>1149</v>
      </c>
      <c r="J265" s="246">
        <f>VLOOKUP(B265,'HK 20.2.2014'!B:I,8,0)</f>
        <v>-213.86</v>
      </c>
      <c r="K265" s="224">
        <f t="shared" si="9"/>
        <v>0</v>
      </c>
    </row>
    <row r="266" spans="1:11">
      <c r="A266" s="221" t="str">
        <f t="shared" si="8"/>
        <v>602</v>
      </c>
      <c r="B266" s="218">
        <v>6022110000</v>
      </c>
      <c r="C266" s="220">
        <v>0</v>
      </c>
      <c r="D266" s="220">
        <v>0</v>
      </c>
      <c r="E266" s="220">
        <v>30</v>
      </c>
      <c r="F266" s="220">
        <v>0</v>
      </c>
      <c r="G266" s="220">
        <v>430.95</v>
      </c>
      <c r="H266" s="222">
        <v>-430.95</v>
      </c>
      <c r="I266" s="217" t="s">
        <v>1150</v>
      </c>
      <c r="J266" s="246">
        <f>VLOOKUP(B266,'HK 20.2.2014'!B:I,8,0)</f>
        <v>-430.95</v>
      </c>
      <c r="K266" s="224">
        <f t="shared" si="9"/>
        <v>0</v>
      </c>
    </row>
    <row r="267" spans="1:11">
      <c r="A267" s="221" t="str">
        <f t="shared" si="8"/>
        <v>602</v>
      </c>
      <c r="B267" s="218">
        <v>6022120000</v>
      </c>
      <c r="C267" s="220">
        <v>0</v>
      </c>
      <c r="D267" s="220">
        <v>0</v>
      </c>
      <c r="E267" s="220">
        <v>0</v>
      </c>
      <c r="F267" s="220">
        <v>0</v>
      </c>
      <c r="G267" s="220">
        <v>237.52</v>
      </c>
      <c r="H267" s="222">
        <v>-237.52</v>
      </c>
      <c r="I267" s="217" t="s">
        <v>1151</v>
      </c>
      <c r="J267" s="246">
        <f>VLOOKUP(B267,'HK 20.2.2014'!B:I,8,0)</f>
        <v>-237.52</v>
      </c>
      <c r="K267" s="224">
        <f t="shared" si="9"/>
        <v>0</v>
      </c>
    </row>
    <row r="268" spans="1:11">
      <c r="A268" s="221" t="str">
        <f t="shared" si="8"/>
        <v>602</v>
      </c>
      <c r="B268" s="218">
        <v>6022130000</v>
      </c>
      <c r="C268" s="220">
        <v>0</v>
      </c>
      <c r="D268" s="220">
        <v>0</v>
      </c>
      <c r="E268" s="220">
        <v>2282.06</v>
      </c>
      <c r="F268" s="220">
        <v>248.95</v>
      </c>
      <c r="G268" s="220">
        <v>18463.59</v>
      </c>
      <c r="H268" s="222">
        <v>-18214.64</v>
      </c>
      <c r="I268" s="217" t="s">
        <v>1152</v>
      </c>
      <c r="J268" s="246">
        <f>VLOOKUP(B268,'HK 20.2.2014'!B:I,8,0)</f>
        <v>-18214.64</v>
      </c>
      <c r="K268" s="224">
        <f t="shared" si="9"/>
        <v>0</v>
      </c>
    </row>
    <row r="269" spans="1:11">
      <c r="A269" s="221" t="str">
        <f t="shared" si="8"/>
        <v>602</v>
      </c>
      <c r="B269" s="218">
        <v>6022140000</v>
      </c>
      <c r="C269" s="220">
        <v>0</v>
      </c>
      <c r="D269" s="220">
        <v>0</v>
      </c>
      <c r="E269" s="220">
        <v>1243.75</v>
      </c>
      <c r="F269" s="220">
        <v>0</v>
      </c>
      <c r="G269" s="220">
        <v>13295.22</v>
      </c>
      <c r="H269" s="222">
        <v>-13295.22</v>
      </c>
      <c r="I269" s="217" t="s">
        <v>1153</v>
      </c>
      <c r="J269" s="246">
        <f>VLOOKUP(B269,'HK 20.2.2014'!B:I,8,0)</f>
        <v>-13295.22</v>
      </c>
      <c r="K269" s="224">
        <f t="shared" si="9"/>
        <v>0</v>
      </c>
    </row>
    <row r="270" spans="1:11">
      <c r="A270" s="221" t="str">
        <f t="shared" si="8"/>
        <v>602</v>
      </c>
      <c r="B270" s="218">
        <v>6022150000</v>
      </c>
      <c r="C270" s="220">
        <v>0</v>
      </c>
      <c r="D270" s="220">
        <v>0</v>
      </c>
      <c r="E270" s="220">
        <v>164.05</v>
      </c>
      <c r="F270" s="220">
        <v>0</v>
      </c>
      <c r="G270" s="220">
        <v>1992.79</v>
      </c>
      <c r="H270" s="222">
        <v>-1992.79</v>
      </c>
      <c r="I270" s="217" t="s">
        <v>1154</v>
      </c>
      <c r="J270" s="246">
        <f>VLOOKUP(B270,'HK 20.2.2014'!B:I,8,0)</f>
        <v>-1992.79</v>
      </c>
      <c r="K270" s="224">
        <f t="shared" si="9"/>
        <v>0</v>
      </c>
    </row>
    <row r="271" spans="1:11">
      <c r="A271" s="221" t="str">
        <f t="shared" si="8"/>
        <v>602</v>
      </c>
      <c r="B271" s="218">
        <v>6022160000</v>
      </c>
      <c r="C271" s="220">
        <v>0</v>
      </c>
      <c r="D271" s="220">
        <v>0</v>
      </c>
      <c r="E271" s="220">
        <v>950</v>
      </c>
      <c r="F271" s="220">
        <v>0</v>
      </c>
      <c r="G271" s="220">
        <v>13436.63</v>
      </c>
      <c r="H271" s="222">
        <v>-13436.63</v>
      </c>
      <c r="I271" s="217" t="s">
        <v>1155</v>
      </c>
      <c r="J271" s="246">
        <f>VLOOKUP(B271,'HK 20.2.2014'!B:I,8,0)</f>
        <v>-13436.63</v>
      </c>
      <c r="K271" s="224">
        <f t="shared" si="9"/>
        <v>0</v>
      </c>
    </row>
    <row r="272" spans="1:11">
      <c r="A272" s="221" t="str">
        <f t="shared" si="8"/>
        <v>602</v>
      </c>
      <c r="B272" s="218">
        <v>6022170000</v>
      </c>
      <c r="C272" s="220">
        <v>0</v>
      </c>
      <c r="D272" s="220">
        <v>0</v>
      </c>
      <c r="E272" s="220">
        <v>1356.67</v>
      </c>
      <c r="F272" s="220">
        <v>0</v>
      </c>
      <c r="G272" s="220">
        <v>13278.09</v>
      </c>
      <c r="H272" s="222">
        <v>-13278.09</v>
      </c>
      <c r="I272" s="217" t="s">
        <v>1156</v>
      </c>
      <c r="J272" s="246">
        <f>VLOOKUP(B272,'HK 20.2.2014'!B:I,8,0)</f>
        <v>-13278.09</v>
      </c>
      <c r="K272" s="224">
        <f t="shared" si="9"/>
        <v>0</v>
      </c>
    </row>
    <row r="273" spans="1:11">
      <c r="A273" s="221" t="str">
        <f t="shared" si="8"/>
        <v>602</v>
      </c>
      <c r="B273" s="218">
        <v>6022180000</v>
      </c>
      <c r="C273" s="220">
        <v>0</v>
      </c>
      <c r="D273" s="220">
        <v>0</v>
      </c>
      <c r="E273" s="220">
        <v>258.33999999999997</v>
      </c>
      <c r="F273" s="220">
        <v>0</v>
      </c>
      <c r="G273" s="220">
        <v>1566.71</v>
      </c>
      <c r="H273" s="222">
        <v>-1566.71</v>
      </c>
      <c r="I273" s="217" t="s">
        <v>1157</v>
      </c>
      <c r="J273" s="246">
        <f>VLOOKUP(B273,'HK 20.2.2014'!B:I,8,0)</f>
        <v>-1566.71</v>
      </c>
      <c r="K273" s="224">
        <f t="shared" si="9"/>
        <v>0</v>
      </c>
    </row>
    <row r="274" spans="1:11">
      <c r="A274" s="221" t="str">
        <f t="shared" si="8"/>
        <v>602</v>
      </c>
      <c r="B274" s="218">
        <v>6022190000</v>
      </c>
      <c r="C274" s="220">
        <v>0</v>
      </c>
      <c r="D274" s="220">
        <v>0</v>
      </c>
      <c r="E274" s="220">
        <v>0</v>
      </c>
      <c r="F274" s="220">
        <v>0</v>
      </c>
      <c r="G274" s="220">
        <v>424.32</v>
      </c>
      <c r="H274" s="222">
        <v>-424.32</v>
      </c>
      <c r="I274" s="217" t="s">
        <v>1158</v>
      </c>
      <c r="J274" s="246">
        <f>VLOOKUP(B274,'HK 20.2.2014'!B:I,8,0)</f>
        <v>-424.32</v>
      </c>
      <c r="K274" s="224">
        <f t="shared" si="9"/>
        <v>0</v>
      </c>
    </row>
    <row r="275" spans="1:11">
      <c r="A275" s="221" t="str">
        <f t="shared" si="8"/>
        <v>602</v>
      </c>
      <c r="B275" s="218">
        <v>6022200000</v>
      </c>
      <c r="C275" s="220">
        <v>0</v>
      </c>
      <c r="D275" s="220">
        <v>0</v>
      </c>
      <c r="E275" s="220">
        <v>137.5</v>
      </c>
      <c r="F275" s="220">
        <v>0</v>
      </c>
      <c r="G275" s="220">
        <v>3248.5</v>
      </c>
      <c r="H275" s="222">
        <v>-3248.5</v>
      </c>
      <c r="I275" s="217" t="s">
        <v>1159</v>
      </c>
      <c r="J275" s="246">
        <f>VLOOKUP(B275,'HK 20.2.2014'!B:I,8,0)</f>
        <v>-3248.5</v>
      </c>
      <c r="K275" s="224">
        <f t="shared" si="9"/>
        <v>0</v>
      </c>
    </row>
    <row r="276" spans="1:11">
      <c r="A276" s="221" t="str">
        <f t="shared" si="8"/>
        <v>602</v>
      </c>
      <c r="B276" s="218">
        <v>6022210000</v>
      </c>
      <c r="C276" s="220">
        <v>0</v>
      </c>
      <c r="D276" s="220">
        <v>0</v>
      </c>
      <c r="E276" s="220">
        <v>29.88</v>
      </c>
      <c r="F276" s="220">
        <v>0</v>
      </c>
      <c r="G276" s="220">
        <v>1033.1500000000001</v>
      </c>
      <c r="H276" s="222">
        <v>-1033.1500000000001</v>
      </c>
      <c r="I276" s="217" t="s">
        <v>1160</v>
      </c>
      <c r="J276" s="246">
        <f>VLOOKUP(B276,'HK 20.2.2014'!B:I,8,0)</f>
        <v>-1033.1500000000001</v>
      </c>
      <c r="K276" s="224">
        <f t="shared" si="9"/>
        <v>0</v>
      </c>
    </row>
    <row r="277" spans="1:11">
      <c r="A277" s="221" t="str">
        <f t="shared" si="8"/>
        <v>602</v>
      </c>
      <c r="B277" s="218">
        <v>6022230000</v>
      </c>
      <c r="C277" s="220">
        <v>0</v>
      </c>
      <c r="D277" s="220">
        <v>0</v>
      </c>
      <c r="E277" s="220">
        <v>480.2</v>
      </c>
      <c r="F277" s="220">
        <v>0</v>
      </c>
      <c r="G277" s="220">
        <v>2205</v>
      </c>
      <c r="H277" s="222">
        <v>-2205</v>
      </c>
      <c r="I277" s="217" t="s">
        <v>1161</v>
      </c>
      <c r="J277" s="246">
        <f>VLOOKUP(B277,'HK 20.2.2014'!B:I,8,0)</f>
        <v>-2205</v>
      </c>
      <c r="K277" s="224">
        <f t="shared" si="9"/>
        <v>0</v>
      </c>
    </row>
    <row r="278" spans="1:11">
      <c r="A278" s="221" t="str">
        <f t="shared" si="8"/>
        <v>602</v>
      </c>
      <c r="B278" s="218">
        <v>6022250000</v>
      </c>
      <c r="C278" s="220">
        <v>0</v>
      </c>
      <c r="D278" s="220">
        <v>0</v>
      </c>
      <c r="E278" s="220">
        <v>581.83000000000004</v>
      </c>
      <c r="F278" s="220">
        <v>0</v>
      </c>
      <c r="G278" s="220">
        <v>7706.28</v>
      </c>
      <c r="H278" s="222">
        <v>-7706.28</v>
      </c>
      <c r="I278" s="217" t="s">
        <v>1162</v>
      </c>
      <c r="J278" s="246">
        <f>VLOOKUP(B278,'HK 20.2.2014'!B:I,8,0)</f>
        <v>-7706.28</v>
      </c>
      <c r="K278" s="224">
        <f t="shared" si="9"/>
        <v>0</v>
      </c>
    </row>
    <row r="279" spans="1:11">
      <c r="A279" s="221" t="str">
        <f t="shared" si="8"/>
        <v>602</v>
      </c>
      <c r="B279" s="218">
        <v>6022260000</v>
      </c>
      <c r="C279" s="220">
        <v>0</v>
      </c>
      <c r="D279" s="220">
        <v>0</v>
      </c>
      <c r="E279" s="220">
        <v>104</v>
      </c>
      <c r="F279" s="220">
        <v>0</v>
      </c>
      <c r="G279" s="220">
        <v>364</v>
      </c>
      <c r="H279" s="222">
        <v>-364</v>
      </c>
      <c r="I279" s="217" t="s">
        <v>1163</v>
      </c>
      <c r="J279" s="246">
        <f>VLOOKUP(B279,'HK 20.2.2014'!B:I,8,0)</f>
        <v>-364</v>
      </c>
      <c r="K279" s="224">
        <f t="shared" si="9"/>
        <v>0</v>
      </c>
    </row>
    <row r="280" spans="1:11">
      <c r="A280" s="221" t="str">
        <f t="shared" si="8"/>
        <v>602</v>
      </c>
      <c r="B280" s="218">
        <v>6022270000</v>
      </c>
      <c r="C280" s="220">
        <v>0</v>
      </c>
      <c r="D280" s="220">
        <v>0</v>
      </c>
      <c r="E280" s="220">
        <v>170</v>
      </c>
      <c r="F280" s="220">
        <v>0</v>
      </c>
      <c r="G280" s="220">
        <v>3049.3</v>
      </c>
      <c r="H280" s="222">
        <v>-3049.3</v>
      </c>
      <c r="I280" s="217" t="s">
        <v>1164</v>
      </c>
      <c r="J280" s="246">
        <f>VLOOKUP(B280,'HK 20.2.2014'!B:I,8,0)</f>
        <v>-3049.3</v>
      </c>
      <c r="K280" s="224">
        <f t="shared" si="9"/>
        <v>0</v>
      </c>
    </row>
    <row r="281" spans="1:11">
      <c r="A281" s="221" t="str">
        <f t="shared" si="8"/>
        <v>602</v>
      </c>
      <c r="B281" s="218">
        <v>6022280000</v>
      </c>
      <c r="C281" s="220">
        <v>0</v>
      </c>
      <c r="D281" s="220">
        <v>0</v>
      </c>
      <c r="E281" s="220">
        <v>225.33</v>
      </c>
      <c r="F281" s="220">
        <v>0</v>
      </c>
      <c r="G281" s="220">
        <v>1375.5</v>
      </c>
      <c r="H281" s="222">
        <v>-1375.5</v>
      </c>
      <c r="I281" s="217" t="s">
        <v>1165</v>
      </c>
      <c r="J281" s="246">
        <f>VLOOKUP(B281,'HK 20.2.2014'!B:I,8,0)</f>
        <v>-1375.5</v>
      </c>
      <c r="K281" s="224">
        <f t="shared" si="9"/>
        <v>0</v>
      </c>
    </row>
    <row r="282" spans="1:11">
      <c r="A282" s="221" t="str">
        <f t="shared" si="8"/>
        <v>602</v>
      </c>
      <c r="B282" s="218">
        <v>6022290000</v>
      </c>
      <c r="C282" s="220">
        <v>0</v>
      </c>
      <c r="D282" s="220">
        <v>0</v>
      </c>
      <c r="E282" s="220">
        <v>22.85</v>
      </c>
      <c r="F282" s="220">
        <v>0</v>
      </c>
      <c r="G282" s="220">
        <v>430.72</v>
      </c>
      <c r="H282" s="222">
        <v>-430.72</v>
      </c>
      <c r="I282" s="217" t="s">
        <v>1166</v>
      </c>
      <c r="J282" s="246">
        <f>VLOOKUP(B282,'HK 20.2.2014'!B:I,8,0)</f>
        <v>-430.72</v>
      </c>
      <c r="K282" s="224">
        <f t="shared" si="9"/>
        <v>0</v>
      </c>
    </row>
    <row r="283" spans="1:11">
      <c r="A283" s="221" t="str">
        <f t="shared" si="8"/>
        <v>602</v>
      </c>
      <c r="B283" s="218">
        <v>6022300000</v>
      </c>
      <c r="C283" s="220">
        <v>0</v>
      </c>
      <c r="D283" s="220">
        <v>0</v>
      </c>
      <c r="E283" s="220">
        <v>875.91</v>
      </c>
      <c r="F283" s="220">
        <v>0</v>
      </c>
      <c r="G283" s="220">
        <v>1597.73</v>
      </c>
      <c r="H283" s="222">
        <v>-1597.73</v>
      </c>
      <c r="I283" s="217" t="s">
        <v>1167</v>
      </c>
      <c r="J283" s="246">
        <f>VLOOKUP(B283,'HK 20.2.2014'!B:I,8,0)</f>
        <v>-1597.73</v>
      </c>
      <c r="K283" s="224">
        <f t="shared" si="9"/>
        <v>0</v>
      </c>
    </row>
    <row r="284" spans="1:11">
      <c r="A284" s="221" t="str">
        <f t="shared" si="8"/>
        <v>602</v>
      </c>
      <c r="B284" s="218">
        <v>6022310000</v>
      </c>
      <c r="C284" s="220">
        <v>0</v>
      </c>
      <c r="D284" s="220">
        <v>0</v>
      </c>
      <c r="E284" s="220">
        <v>0</v>
      </c>
      <c r="F284" s="220">
        <v>0</v>
      </c>
      <c r="G284" s="220">
        <v>28.16</v>
      </c>
      <c r="H284" s="222">
        <v>-28.16</v>
      </c>
      <c r="I284" s="217" t="s">
        <v>1168</v>
      </c>
      <c r="J284" s="246">
        <f>VLOOKUP(B284,'HK 20.2.2014'!B:I,8,0)</f>
        <v>-28.16</v>
      </c>
      <c r="K284" s="224">
        <f t="shared" si="9"/>
        <v>0</v>
      </c>
    </row>
    <row r="285" spans="1:11">
      <c r="A285" s="221" t="str">
        <f t="shared" si="8"/>
        <v>602</v>
      </c>
      <c r="B285" s="218">
        <v>6023010000</v>
      </c>
      <c r="C285" s="220">
        <v>0</v>
      </c>
      <c r="D285" s="220">
        <v>0</v>
      </c>
      <c r="E285" s="220">
        <v>229717.85</v>
      </c>
      <c r="F285" s="220">
        <v>0</v>
      </c>
      <c r="G285" s="220">
        <v>3019959.58</v>
      </c>
      <c r="H285" s="222">
        <v>-3019959.58</v>
      </c>
      <c r="I285" s="217" t="s">
        <v>1169</v>
      </c>
      <c r="J285" s="246">
        <f>VLOOKUP(B285,'HK 20.2.2014'!B:I,8,0)</f>
        <v>-3114153.84</v>
      </c>
      <c r="K285" s="224">
        <f t="shared" si="9"/>
        <v>-94194.259999999776</v>
      </c>
    </row>
    <row r="286" spans="1:11">
      <c r="A286" s="221" t="str">
        <f t="shared" si="8"/>
        <v>602</v>
      </c>
      <c r="B286" s="218">
        <v>6023030000</v>
      </c>
      <c r="C286" s="220">
        <v>0</v>
      </c>
      <c r="D286" s="220">
        <v>0</v>
      </c>
      <c r="E286" s="220">
        <v>121410.74</v>
      </c>
      <c r="F286" s="220">
        <v>0</v>
      </c>
      <c r="G286" s="220">
        <v>1534651.2</v>
      </c>
      <c r="H286" s="222">
        <v>-1534651.2</v>
      </c>
      <c r="I286" s="217" t="s">
        <v>1170</v>
      </c>
      <c r="J286" s="246">
        <f>VLOOKUP(B286,'HK 20.2.2014'!B:I,8,0)</f>
        <v>-1536886.02</v>
      </c>
      <c r="K286" s="224">
        <f t="shared" si="9"/>
        <v>-2234.8200000000652</v>
      </c>
    </row>
    <row r="287" spans="1:11">
      <c r="A287" s="221" t="str">
        <f t="shared" si="8"/>
        <v>602</v>
      </c>
      <c r="B287" s="218">
        <v>6023040000</v>
      </c>
      <c r="C287" s="220">
        <v>0</v>
      </c>
      <c r="D287" s="220">
        <v>0</v>
      </c>
      <c r="E287" s="220">
        <v>4781.63</v>
      </c>
      <c r="F287" s="220">
        <v>0</v>
      </c>
      <c r="G287" s="220">
        <v>221711.87</v>
      </c>
      <c r="H287" s="222">
        <v>-221711.87</v>
      </c>
      <c r="I287" s="217" t="s">
        <v>1171</v>
      </c>
      <c r="J287" s="246">
        <f>VLOOKUP(B287,'HK 20.2.2014'!B:I,8,0)</f>
        <v>-221711.87</v>
      </c>
      <c r="K287" s="224">
        <f t="shared" si="9"/>
        <v>0</v>
      </c>
    </row>
    <row r="288" spans="1:11">
      <c r="A288" s="221" t="str">
        <f t="shared" si="8"/>
        <v>602</v>
      </c>
      <c r="B288" s="218">
        <v>6023060000</v>
      </c>
      <c r="C288" s="220">
        <v>0</v>
      </c>
      <c r="D288" s="220">
        <v>0</v>
      </c>
      <c r="E288" s="220">
        <v>8488.15</v>
      </c>
      <c r="F288" s="220">
        <v>0</v>
      </c>
      <c r="G288" s="220">
        <v>126650.07</v>
      </c>
      <c r="H288" s="222">
        <v>-126650.07</v>
      </c>
      <c r="I288" s="217" t="s">
        <v>1172</v>
      </c>
      <c r="J288" s="246">
        <f>VLOOKUP(B288,'HK 20.2.2014'!B:I,8,0)</f>
        <v>-127200.5</v>
      </c>
      <c r="K288" s="224">
        <f t="shared" si="9"/>
        <v>-550.42999999999302</v>
      </c>
    </row>
    <row r="289" spans="1:11">
      <c r="A289" s="221" t="str">
        <f t="shared" si="8"/>
        <v>602</v>
      </c>
      <c r="B289" s="218">
        <v>6023070000</v>
      </c>
      <c r="C289" s="220">
        <v>0</v>
      </c>
      <c r="D289" s="220">
        <v>0</v>
      </c>
      <c r="E289" s="220">
        <v>-2253.2600000000002</v>
      </c>
      <c r="F289" s="220">
        <v>0</v>
      </c>
      <c r="G289" s="220">
        <v>46916.83</v>
      </c>
      <c r="H289" s="222">
        <v>-46916.83</v>
      </c>
      <c r="I289" s="217" t="s">
        <v>1173</v>
      </c>
      <c r="J289" s="246">
        <f>VLOOKUP(B289,'HK 20.2.2014'!B:I,8,0)</f>
        <v>-46943.65</v>
      </c>
      <c r="K289" s="224">
        <f t="shared" si="9"/>
        <v>-26.819999999999709</v>
      </c>
    </row>
    <row r="290" spans="1:11">
      <c r="A290" s="221" t="str">
        <f t="shared" ref="A290:A313" si="10">LEFT(B290,3)</f>
        <v>602</v>
      </c>
      <c r="B290" s="218">
        <v>6023080000</v>
      </c>
      <c r="C290" s="220">
        <v>0</v>
      </c>
      <c r="D290" s="220">
        <v>0</v>
      </c>
      <c r="E290" s="220">
        <v>13538.1</v>
      </c>
      <c r="F290" s="220">
        <v>0</v>
      </c>
      <c r="G290" s="220">
        <v>222965.55</v>
      </c>
      <c r="H290" s="222">
        <v>-222965.55</v>
      </c>
      <c r="I290" s="217" t="s">
        <v>1174</v>
      </c>
      <c r="J290" s="246">
        <f>VLOOKUP(B290,'HK 20.2.2014'!B:I,8,0)</f>
        <v>-231106.03</v>
      </c>
      <c r="K290" s="224">
        <f t="shared" si="9"/>
        <v>-8140.4800000000105</v>
      </c>
    </row>
    <row r="291" spans="1:11">
      <c r="A291" s="221" t="str">
        <f t="shared" si="10"/>
        <v>602</v>
      </c>
      <c r="B291" s="218">
        <v>6023090000</v>
      </c>
      <c r="C291" s="220">
        <v>0</v>
      </c>
      <c r="D291" s="220">
        <v>0</v>
      </c>
      <c r="E291" s="220">
        <v>786.05</v>
      </c>
      <c r="F291" s="220">
        <v>0</v>
      </c>
      <c r="G291" s="220">
        <v>27148.5</v>
      </c>
      <c r="H291" s="222">
        <v>-27148.5</v>
      </c>
      <c r="I291" s="217" t="s">
        <v>1175</v>
      </c>
      <c r="J291" s="246">
        <f>VLOOKUP(B291,'HK 20.2.2014'!B:I,8,0)</f>
        <v>-27148.5</v>
      </c>
      <c r="K291" s="224">
        <f t="shared" si="9"/>
        <v>0</v>
      </c>
    </row>
    <row r="292" spans="1:11">
      <c r="A292" s="221" t="str">
        <f t="shared" si="10"/>
        <v>602</v>
      </c>
      <c r="B292" s="218">
        <v>6023100000</v>
      </c>
      <c r="C292" s="220">
        <v>0</v>
      </c>
      <c r="D292" s="220">
        <v>0</v>
      </c>
      <c r="E292" s="220">
        <v>12580</v>
      </c>
      <c r="F292" s="220">
        <v>0</v>
      </c>
      <c r="G292" s="220">
        <v>22162.49</v>
      </c>
      <c r="H292" s="222">
        <v>-22162.49</v>
      </c>
      <c r="I292" s="217" t="s">
        <v>1176</v>
      </c>
      <c r="J292" s="246">
        <f>VLOOKUP(B292,'HK 20.2.2014'!B:I,8,0)</f>
        <v>-22162.49</v>
      </c>
      <c r="K292" s="224">
        <f t="shared" si="9"/>
        <v>0</v>
      </c>
    </row>
    <row r="293" spans="1:11">
      <c r="A293" s="221" t="str">
        <f t="shared" si="10"/>
        <v>602</v>
      </c>
      <c r="B293" s="218">
        <v>6023110000</v>
      </c>
      <c r="C293" s="220">
        <v>0</v>
      </c>
      <c r="D293" s="220">
        <v>0</v>
      </c>
      <c r="E293" s="220">
        <v>10622.83</v>
      </c>
      <c r="F293" s="220">
        <v>0</v>
      </c>
      <c r="G293" s="220">
        <v>287782.67</v>
      </c>
      <c r="H293" s="222">
        <v>-287782.67</v>
      </c>
      <c r="I293" s="217" t="s">
        <v>1177</v>
      </c>
      <c r="J293" s="246">
        <f>VLOOKUP(B293,'HK 20.2.2014'!B:I,8,0)</f>
        <v>-289376.67</v>
      </c>
      <c r="K293" s="224">
        <f t="shared" si="9"/>
        <v>-1594</v>
      </c>
    </row>
    <row r="294" spans="1:11">
      <c r="A294" s="221" t="str">
        <f t="shared" si="10"/>
        <v>602</v>
      </c>
      <c r="B294" s="218">
        <v>6023120000</v>
      </c>
      <c r="C294" s="220">
        <v>0</v>
      </c>
      <c r="D294" s="220">
        <v>0</v>
      </c>
      <c r="E294" s="220">
        <v>0</v>
      </c>
      <c r="F294" s="220">
        <v>0</v>
      </c>
      <c r="G294" s="220">
        <v>107791.91</v>
      </c>
      <c r="H294" s="222">
        <v>-107791.91</v>
      </c>
      <c r="I294" s="217" t="s">
        <v>1178</v>
      </c>
      <c r="J294" s="246">
        <f>VLOOKUP(B294,'HK 20.2.2014'!B:I,8,0)</f>
        <v>-107791.91</v>
      </c>
      <c r="K294" s="224">
        <f t="shared" si="9"/>
        <v>0</v>
      </c>
    </row>
    <row r="295" spans="1:11">
      <c r="A295" s="221" t="str">
        <f t="shared" si="10"/>
        <v>602</v>
      </c>
      <c r="B295" s="218">
        <v>6023130000</v>
      </c>
      <c r="C295" s="220">
        <v>0</v>
      </c>
      <c r="D295" s="220">
        <v>0</v>
      </c>
      <c r="E295" s="220">
        <v>0</v>
      </c>
      <c r="F295" s="220">
        <v>0</v>
      </c>
      <c r="G295" s="220">
        <v>-16265.97</v>
      </c>
      <c r="H295" s="222">
        <v>16265.97</v>
      </c>
      <c r="I295" s="217" t="s">
        <v>1179</v>
      </c>
      <c r="J295" s="246">
        <f>VLOOKUP(B295,'HK 20.2.2014'!B:I,8,0)</f>
        <v>16265.97</v>
      </c>
      <c r="K295" s="224">
        <f t="shared" si="9"/>
        <v>0</v>
      </c>
    </row>
    <row r="296" spans="1:11">
      <c r="A296" s="221" t="str">
        <f t="shared" si="10"/>
        <v>604</v>
      </c>
      <c r="B296" s="218">
        <v>6041000000</v>
      </c>
      <c r="C296" s="220">
        <v>0</v>
      </c>
      <c r="D296" s="220">
        <v>0</v>
      </c>
      <c r="E296" s="220">
        <v>0</v>
      </c>
      <c r="F296" s="220">
        <v>0</v>
      </c>
      <c r="G296" s="220">
        <v>78894.11</v>
      </c>
      <c r="H296" s="222">
        <v>-78894.11</v>
      </c>
      <c r="I296" s="217" t="s">
        <v>1180</v>
      </c>
      <c r="J296" s="246">
        <f>VLOOKUP(B296,'HK 20.2.2014'!B:I,8,0)</f>
        <v>-78894.11</v>
      </c>
      <c r="K296" s="224">
        <f t="shared" si="9"/>
        <v>0</v>
      </c>
    </row>
    <row r="297" spans="1:11">
      <c r="A297" s="221" t="str">
        <f t="shared" si="10"/>
        <v>622</v>
      </c>
      <c r="B297" s="218">
        <v>6221000000</v>
      </c>
      <c r="C297" s="220">
        <v>0</v>
      </c>
      <c r="D297" s="220">
        <v>0</v>
      </c>
      <c r="E297" s="220">
        <v>1526.04</v>
      </c>
      <c r="F297" s="220">
        <v>0</v>
      </c>
      <c r="G297" s="220">
        <v>21848.68</v>
      </c>
      <c r="H297" s="222">
        <v>-21848.68</v>
      </c>
      <c r="I297" s="217" t="s">
        <v>1181</v>
      </c>
      <c r="J297" s="246">
        <f>VLOOKUP(B297,'HK 20.2.2014'!B:I,8,0)</f>
        <v>-21848.68</v>
      </c>
      <c r="K297" s="224">
        <f t="shared" si="9"/>
        <v>0</v>
      </c>
    </row>
    <row r="298" spans="1:11">
      <c r="A298" s="221" t="str">
        <f t="shared" si="10"/>
        <v>644</v>
      </c>
      <c r="B298" s="218">
        <v>6441000000</v>
      </c>
      <c r="C298" s="220">
        <v>0</v>
      </c>
      <c r="D298" s="220">
        <v>0</v>
      </c>
      <c r="E298" s="220">
        <v>0</v>
      </c>
      <c r="F298" s="220">
        <v>0</v>
      </c>
      <c r="G298" s="220">
        <v>4.8099999999999996</v>
      </c>
      <c r="H298" s="222">
        <v>-4.8099999999999996</v>
      </c>
      <c r="I298" s="217" t="s">
        <v>1182</v>
      </c>
      <c r="J298" s="246">
        <f>VLOOKUP(B298,'HK 20.2.2014'!B:I,8,0)</f>
        <v>-4.8099999999999996</v>
      </c>
      <c r="K298" s="224">
        <f t="shared" si="9"/>
        <v>0</v>
      </c>
    </row>
    <row r="299" spans="1:11">
      <c r="A299" s="221" t="str">
        <f t="shared" si="10"/>
        <v>644</v>
      </c>
      <c r="B299" s="218">
        <v>6442000000</v>
      </c>
      <c r="C299" s="220">
        <v>0</v>
      </c>
      <c r="D299" s="220">
        <v>0</v>
      </c>
      <c r="E299" s="220">
        <v>0.03</v>
      </c>
      <c r="F299" s="220">
        <v>0</v>
      </c>
      <c r="G299" s="220">
        <v>-18.850000000000001</v>
      </c>
      <c r="H299" s="222">
        <v>18.850000000000001</v>
      </c>
      <c r="I299" s="217" t="s">
        <v>1183</v>
      </c>
      <c r="J299" s="246">
        <f>VLOOKUP(B299,'HK 20.2.2014'!B:I,8,0)</f>
        <v>18.850000000000001</v>
      </c>
      <c r="K299" s="224">
        <f t="shared" si="9"/>
        <v>0</v>
      </c>
    </row>
    <row r="300" spans="1:11">
      <c r="A300" s="221" t="str">
        <f t="shared" si="10"/>
        <v>644</v>
      </c>
      <c r="B300" s="218">
        <v>6443000000</v>
      </c>
      <c r="C300" s="220">
        <v>0</v>
      </c>
      <c r="D300" s="220">
        <v>0</v>
      </c>
      <c r="E300" s="220">
        <v>0</v>
      </c>
      <c r="F300" s="220">
        <v>0</v>
      </c>
      <c r="G300" s="220">
        <v>0.39</v>
      </c>
      <c r="H300" s="222">
        <v>-0.39</v>
      </c>
      <c r="I300" s="217" t="s">
        <v>1184</v>
      </c>
      <c r="J300" s="246">
        <f>VLOOKUP(B300,'HK 20.2.2014'!B:I,8,0)</f>
        <v>-0.39</v>
      </c>
      <c r="K300" s="224">
        <f t="shared" si="9"/>
        <v>0</v>
      </c>
    </row>
    <row r="301" spans="1:11">
      <c r="A301" s="221" t="str">
        <f t="shared" si="10"/>
        <v>644</v>
      </c>
      <c r="B301" s="218">
        <v>6444000000</v>
      </c>
      <c r="C301" s="220">
        <v>0</v>
      </c>
      <c r="D301" s="220">
        <v>0</v>
      </c>
      <c r="E301" s="220">
        <v>0</v>
      </c>
      <c r="F301" s="220">
        <v>0</v>
      </c>
      <c r="G301" s="220">
        <v>1.72</v>
      </c>
      <c r="H301" s="222">
        <v>-1.72</v>
      </c>
      <c r="I301" s="217" t="s">
        <v>1185</v>
      </c>
      <c r="J301" s="246">
        <f>VLOOKUP(B301,'HK 20.2.2014'!B:I,8,0)</f>
        <v>-1.72</v>
      </c>
      <c r="K301" s="224">
        <f t="shared" si="9"/>
        <v>0</v>
      </c>
    </row>
    <row r="302" spans="1:11">
      <c r="A302" s="221" t="str">
        <f t="shared" si="10"/>
        <v>646</v>
      </c>
      <c r="B302" s="218">
        <v>6461000000</v>
      </c>
      <c r="C302" s="220">
        <v>0</v>
      </c>
      <c r="D302" s="220">
        <v>0</v>
      </c>
      <c r="E302" s="220">
        <v>389.24</v>
      </c>
      <c r="F302" s="220">
        <v>0</v>
      </c>
      <c r="G302" s="220">
        <v>570.91999999999996</v>
      </c>
      <c r="H302" s="222">
        <v>-570.91999999999996</v>
      </c>
      <c r="I302" s="217" t="s">
        <v>1186</v>
      </c>
      <c r="J302" s="246">
        <f>VLOOKUP(B302,'HK 20.2.2014'!B:I,8,0)</f>
        <v>-570.91999999999996</v>
      </c>
      <c r="K302" s="224">
        <f t="shared" si="9"/>
        <v>0</v>
      </c>
    </row>
    <row r="303" spans="1:11">
      <c r="A303" s="221" t="str">
        <f t="shared" si="10"/>
        <v>649</v>
      </c>
      <c r="B303" s="218">
        <v>6494000000</v>
      </c>
      <c r="C303" s="220">
        <v>0</v>
      </c>
      <c r="D303" s="220">
        <v>0</v>
      </c>
      <c r="E303" s="220">
        <v>0.05</v>
      </c>
      <c r="F303" s="220">
        <v>0</v>
      </c>
      <c r="G303" s="220">
        <v>4.18</v>
      </c>
      <c r="H303" s="222">
        <v>-4.18</v>
      </c>
      <c r="I303" s="217" t="s">
        <v>1187</v>
      </c>
      <c r="J303" s="246">
        <f>VLOOKUP(B303,'HK 20.2.2014'!B:I,8,0)</f>
        <v>-4.18</v>
      </c>
      <c r="K303" s="224">
        <f t="shared" si="9"/>
        <v>0</v>
      </c>
    </row>
    <row r="304" spans="1:11">
      <c r="A304" s="221" t="str">
        <f t="shared" si="10"/>
        <v>649</v>
      </c>
      <c r="B304" s="218">
        <v>6495000000</v>
      </c>
      <c r="C304" s="220">
        <v>0</v>
      </c>
      <c r="D304" s="220">
        <v>0</v>
      </c>
      <c r="E304" s="220">
        <v>0</v>
      </c>
      <c r="F304" s="220">
        <v>0</v>
      </c>
      <c r="G304" s="220">
        <v>11990.9</v>
      </c>
      <c r="H304" s="222">
        <v>-11990.9</v>
      </c>
      <c r="I304" s="217" t="s">
        <v>1188</v>
      </c>
      <c r="J304" s="246">
        <f>VLOOKUP(B304,'HK 20.2.2014'!B:I,8,0)</f>
        <v>-11990.9</v>
      </c>
      <c r="K304" s="224">
        <f t="shared" si="9"/>
        <v>0</v>
      </c>
    </row>
    <row r="305" spans="1:11">
      <c r="A305" s="221" t="str">
        <f t="shared" si="10"/>
        <v>649</v>
      </c>
      <c r="B305" s="218">
        <v>6499000000</v>
      </c>
      <c r="C305" s="220">
        <v>0</v>
      </c>
      <c r="D305" s="220">
        <v>0</v>
      </c>
      <c r="E305" s="220">
        <v>0</v>
      </c>
      <c r="F305" s="220">
        <v>0</v>
      </c>
      <c r="G305" s="220">
        <v>8135.46</v>
      </c>
      <c r="H305" s="222">
        <v>-8135.46</v>
      </c>
      <c r="I305" s="217" t="s">
        <v>1189</v>
      </c>
      <c r="J305" s="246">
        <f>VLOOKUP(B305,'HK 20.2.2014'!B:I,8,0)</f>
        <v>-8135.46</v>
      </c>
      <c r="K305" s="224">
        <f t="shared" si="9"/>
        <v>0</v>
      </c>
    </row>
    <row r="306" spans="1:11">
      <c r="A306" s="221" t="str">
        <f t="shared" si="10"/>
        <v>656</v>
      </c>
      <c r="B306" s="218">
        <v>6561000000</v>
      </c>
      <c r="C306" s="220">
        <v>0</v>
      </c>
      <c r="D306" s="220">
        <v>0</v>
      </c>
      <c r="E306" s="220">
        <v>6690</v>
      </c>
      <c r="F306" s="220">
        <v>0</v>
      </c>
      <c r="G306" s="220">
        <v>12891</v>
      </c>
      <c r="H306" s="222">
        <v>-12891</v>
      </c>
      <c r="I306" s="217" t="s">
        <v>1190</v>
      </c>
      <c r="J306" s="246">
        <f>VLOOKUP(B306,'HK 20.2.2014'!B:I,8,0)</f>
        <v>-12891</v>
      </c>
      <c r="K306" s="224">
        <f t="shared" si="9"/>
        <v>0</v>
      </c>
    </row>
    <row r="307" spans="1:11">
      <c r="A307" s="221" t="str">
        <f t="shared" si="10"/>
        <v>659</v>
      </c>
      <c r="B307" s="218">
        <v>6591000000</v>
      </c>
      <c r="C307" s="220">
        <v>0</v>
      </c>
      <c r="D307" s="220">
        <v>0</v>
      </c>
      <c r="E307" s="220">
        <v>0</v>
      </c>
      <c r="F307" s="220">
        <v>0</v>
      </c>
      <c r="G307" s="220">
        <v>0</v>
      </c>
      <c r="H307" s="222">
        <v>0</v>
      </c>
      <c r="I307" s="217" t="s">
        <v>1216</v>
      </c>
      <c r="J307" s="246">
        <f>VLOOKUP(B307,'HK 20.2.2014'!B:I,8,0)</f>
        <v>0</v>
      </c>
      <c r="K307" s="224">
        <f t="shared" si="9"/>
        <v>0</v>
      </c>
    </row>
    <row r="308" spans="1:11">
      <c r="A308" s="221" t="str">
        <f t="shared" si="10"/>
        <v>662</v>
      </c>
      <c r="B308" s="218">
        <v>6621000000</v>
      </c>
      <c r="C308" s="220">
        <v>0</v>
      </c>
      <c r="D308" s="220">
        <v>0</v>
      </c>
      <c r="E308" s="220">
        <v>95.9</v>
      </c>
      <c r="F308" s="220">
        <v>0</v>
      </c>
      <c r="G308" s="220">
        <v>209.42</v>
      </c>
      <c r="H308" s="222">
        <v>-209.42</v>
      </c>
      <c r="I308" s="217" t="s">
        <v>1191</v>
      </c>
      <c r="J308" s="246">
        <f>VLOOKUP(B308,'HK 20.2.2014'!B:I,8,0)</f>
        <v>-209.42</v>
      </c>
      <c r="K308" s="224">
        <f t="shared" si="9"/>
        <v>0</v>
      </c>
    </row>
    <row r="309" spans="1:11">
      <c r="A309" s="221" t="str">
        <f t="shared" si="10"/>
        <v>662</v>
      </c>
      <c r="B309" s="218">
        <v>6625000000</v>
      </c>
      <c r="C309" s="220">
        <v>0</v>
      </c>
      <c r="D309" s="220">
        <v>0</v>
      </c>
      <c r="E309" s="220">
        <v>0</v>
      </c>
      <c r="F309" s="220">
        <v>0</v>
      </c>
      <c r="G309" s="220">
        <v>0</v>
      </c>
      <c r="H309" s="222">
        <v>0</v>
      </c>
      <c r="I309" s="217" t="s">
        <v>1192</v>
      </c>
      <c r="J309" s="246">
        <f>VLOOKUP(B309,'HK 20.2.2014'!B:I,8,0)</f>
        <v>0</v>
      </c>
      <c r="K309" s="224">
        <f t="shared" si="9"/>
        <v>0</v>
      </c>
    </row>
    <row r="310" spans="1:11">
      <c r="A310" s="221" t="str">
        <f t="shared" si="10"/>
        <v>663</v>
      </c>
      <c r="B310" s="218">
        <v>6631000000</v>
      </c>
      <c r="C310" s="220">
        <v>0</v>
      </c>
      <c r="D310" s="220">
        <v>0</v>
      </c>
      <c r="E310" s="220">
        <v>0</v>
      </c>
      <c r="F310" s="220">
        <v>0</v>
      </c>
      <c r="G310" s="220">
        <v>0</v>
      </c>
      <c r="H310" s="222">
        <v>0</v>
      </c>
      <c r="I310" s="217" t="s">
        <v>1193</v>
      </c>
      <c r="J310" s="246">
        <f>VLOOKUP(B310,'HK 20.2.2014'!B:I,8,0)</f>
        <v>0</v>
      </c>
      <c r="K310" s="224">
        <f t="shared" si="9"/>
        <v>0</v>
      </c>
    </row>
    <row r="311" spans="1:11">
      <c r="A311" s="221" t="str">
        <f t="shared" si="10"/>
        <v>665</v>
      </c>
      <c r="B311" s="218">
        <v>6651000000</v>
      </c>
      <c r="C311" s="220">
        <v>0</v>
      </c>
      <c r="D311" s="220">
        <v>0</v>
      </c>
      <c r="E311" s="220">
        <v>0</v>
      </c>
      <c r="F311" s="220">
        <v>0</v>
      </c>
      <c r="G311" s="220">
        <v>1159.9000000000001</v>
      </c>
      <c r="H311" s="222">
        <v>-1159.9000000000001</v>
      </c>
      <c r="I311" s="217" t="s">
        <v>1194</v>
      </c>
      <c r="J311" s="246">
        <f>VLOOKUP(B311,'HK 20.2.2014'!B:I,8,0)</f>
        <v>-1159.9000000000001</v>
      </c>
      <c r="K311" s="224">
        <f t="shared" si="9"/>
        <v>0</v>
      </c>
    </row>
    <row r="312" spans="1:11">
      <c r="A312" s="221" t="str">
        <f t="shared" si="10"/>
        <v>665</v>
      </c>
      <c r="B312" s="218">
        <v>6652000000</v>
      </c>
      <c r="C312" s="220">
        <v>0</v>
      </c>
      <c r="D312" s="220">
        <v>0</v>
      </c>
      <c r="E312" s="220">
        <v>0</v>
      </c>
      <c r="F312" s="220">
        <v>0</v>
      </c>
      <c r="G312" s="220">
        <v>19.559999999999999</v>
      </c>
      <c r="H312" s="222">
        <v>-19.559999999999999</v>
      </c>
      <c r="I312" s="217" t="s">
        <v>1195</v>
      </c>
      <c r="J312" s="246">
        <f>VLOOKUP(B312,'HK 20.2.2014'!B:I,8,0)</f>
        <v>-19.559999999999999</v>
      </c>
      <c r="K312" s="224">
        <f t="shared" si="9"/>
        <v>0</v>
      </c>
    </row>
    <row r="313" spans="1:11">
      <c r="A313" s="221" t="str">
        <f t="shared" si="10"/>
        <v>691</v>
      </c>
      <c r="B313" s="218">
        <v>6911000000</v>
      </c>
      <c r="C313" s="220">
        <v>0</v>
      </c>
      <c r="D313" s="220">
        <v>0</v>
      </c>
      <c r="E313" s="220">
        <v>1100.97</v>
      </c>
      <c r="F313" s="220">
        <v>0</v>
      </c>
      <c r="G313" s="220">
        <v>9267.67</v>
      </c>
      <c r="H313" s="222">
        <v>-9267.67</v>
      </c>
      <c r="I313" s="217" t="s">
        <v>1196</v>
      </c>
      <c r="J313" s="246">
        <f>VLOOKUP(B313,'HK 20.2.2014'!B:I,8,0)</f>
        <v>-9267.67</v>
      </c>
      <c r="K313" s="224">
        <f t="shared" si="9"/>
        <v>0</v>
      </c>
    </row>
    <row r="315" spans="1:11">
      <c r="G315" s="215" t="s">
        <v>1218</v>
      </c>
      <c r="H315" s="223">
        <f>SUM(H158:H313)-H247</f>
        <v>-228224.44000000102</v>
      </c>
      <c r="J315" s="223"/>
    </row>
    <row r="316" spans="1:11">
      <c r="G316" s="215" t="s">
        <v>1219</v>
      </c>
      <c r="H316" s="223">
        <f>SUM(H158:H313)</f>
        <v>-228223.52000000101</v>
      </c>
      <c r="J316" s="22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workbookViewId="0">
      <selection activeCell="C206" sqref="C206"/>
    </sheetView>
  </sheetViews>
  <sheetFormatPr defaultRowHeight="11.25"/>
  <cols>
    <col min="1" max="1" width="14" style="215" customWidth="1"/>
    <col min="2" max="2" width="13.28515625" style="215" bestFit="1" customWidth="1"/>
    <col min="3" max="4" width="9.42578125" style="215" bestFit="1" customWidth="1"/>
    <col min="5" max="6" width="10" style="215" bestFit="1" customWidth="1"/>
    <col min="7" max="7" width="10.5703125" style="215" bestFit="1" customWidth="1"/>
    <col min="8" max="8" width="32.85546875" style="215" bestFit="1" customWidth="1"/>
    <col min="9" max="9" width="10.5703125" style="215" bestFit="1" customWidth="1"/>
    <col min="10" max="16384" width="9.140625" style="215"/>
  </cols>
  <sheetData>
    <row r="1" spans="1:10">
      <c r="A1" s="238" t="s">
        <v>1197</v>
      </c>
      <c r="B1" s="239" t="s">
        <v>1198</v>
      </c>
      <c r="C1" s="239" t="s">
        <v>1199</v>
      </c>
      <c r="D1" s="239" t="s">
        <v>1200</v>
      </c>
      <c r="E1" s="239" t="s">
        <v>1201</v>
      </c>
      <c r="F1" s="239" t="s">
        <v>1202</v>
      </c>
      <c r="G1" s="239" t="s">
        <v>1203</v>
      </c>
      <c r="H1" s="238" t="s">
        <v>1204</v>
      </c>
    </row>
    <row r="2" spans="1:10">
      <c r="A2" s="237">
        <v>131000000</v>
      </c>
      <c r="B2" s="240">
        <v>98009.16</v>
      </c>
      <c r="C2" s="240">
        <v>0</v>
      </c>
      <c r="D2" s="240">
        <v>0</v>
      </c>
      <c r="E2" s="240">
        <v>2400</v>
      </c>
      <c r="F2" s="240">
        <v>0</v>
      </c>
      <c r="G2" s="240">
        <v>100409.16</v>
      </c>
      <c r="H2" s="237" t="s">
        <v>905</v>
      </c>
      <c r="I2" s="223">
        <f>VLOOKUP(A2,'HK 12.2.2014'!B:H,7,0)</f>
        <v>100409.16</v>
      </c>
      <c r="J2" s="223">
        <f>+I2-G2</f>
        <v>0</v>
      </c>
    </row>
    <row r="3" spans="1:10">
      <c r="A3" s="237">
        <v>211000000</v>
      </c>
      <c r="B3" s="240">
        <v>35703.94</v>
      </c>
      <c r="C3" s="240">
        <v>250270.86</v>
      </c>
      <c r="D3" s="240">
        <v>0</v>
      </c>
      <c r="E3" s="240">
        <v>358603.04</v>
      </c>
      <c r="F3" s="240">
        <v>0</v>
      </c>
      <c r="G3" s="240">
        <v>394306.98</v>
      </c>
      <c r="H3" s="237" t="s">
        <v>906</v>
      </c>
      <c r="I3" s="223">
        <f>VLOOKUP(A3,'HK 12.2.2014'!B:H,7,0)</f>
        <v>394306.98</v>
      </c>
      <c r="J3" s="223">
        <f t="shared" ref="J3:J66" si="0">+I3-G3</f>
        <v>0</v>
      </c>
    </row>
    <row r="4" spans="1:10">
      <c r="A4" s="237">
        <v>212000000</v>
      </c>
      <c r="B4" s="240">
        <v>3137.13</v>
      </c>
      <c r="C4" s="240">
        <v>0</v>
      </c>
      <c r="D4" s="240">
        <v>0</v>
      </c>
      <c r="E4" s="240">
        <v>0</v>
      </c>
      <c r="F4" s="240">
        <v>0</v>
      </c>
      <c r="G4" s="240">
        <v>3137.13</v>
      </c>
      <c r="H4" s="237" t="s">
        <v>907</v>
      </c>
      <c r="I4" s="223">
        <f>VLOOKUP(A4,'HK 12.2.2014'!B:H,7,0)</f>
        <v>3137.13</v>
      </c>
      <c r="J4" s="223">
        <f t="shared" si="0"/>
        <v>0</v>
      </c>
    </row>
    <row r="5" spans="1:10">
      <c r="A5" s="237">
        <v>213000000</v>
      </c>
      <c r="B5" s="240">
        <v>41535.699999999997</v>
      </c>
      <c r="C5" s="240">
        <v>21973.03</v>
      </c>
      <c r="D5" s="240">
        <v>0</v>
      </c>
      <c r="E5" s="240">
        <v>21973.03</v>
      </c>
      <c r="F5" s="240">
        <v>0</v>
      </c>
      <c r="G5" s="240">
        <v>63508.73</v>
      </c>
      <c r="H5" s="237" t="s">
        <v>908</v>
      </c>
      <c r="I5" s="223">
        <f>VLOOKUP(A5,'HK 12.2.2014'!B:H,7,0)</f>
        <v>63508.73</v>
      </c>
      <c r="J5" s="223">
        <f t="shared" si="0"/>
        <v>0</v>
      </c>
    </row>
    <row r="6" spans="1:10">
      <c r="A6" s="237">
        <v>214000000</v>
      </c>
      <c r="B6" s="240">
        <v>27714.15</v>
      </c>
      <c r="C6" s="240">
        <v>0</v>
      </c>
      <c r="D6" s="240">
        <v>0</v>
      </c>
      <c r="E6" s="240">
        <v>-8005.93</v>
      </c>
      <c r="F6" s="240">
        <v>0</v>
      </c>
      <c r="G6" s="240">
        <v>19708.22</v>
      </c>
      <c r="H6" s="237" t="s">
        <v>909</v>
      </c>
      <c r="I6" s="223">
        <f>VLOOKUP(A6,'HK 12.2.2014'!B:H,7,0)</f>
        <v>19708.22</v>
      </c>
      <c r="J6" s="223">
        <f t="shared" si="0"/>
        <v>0</v>
      </c>
    </row>
    <row r="7" spans="1:10">
      <c r="A7" s="237">
        <v>215000000</v>
      </c>
      <c r="B7" s="240">
        <v>0</v>
      </c>
      <c r="C7" s="240">
        <v>0</v>
      </c>
      <c r="D7" s="240">
        <v>0</v>
      </c>
      <c r="E7" s="240">
        <v>11861.48</v>
      </c>
      <c r="F7" s="240">
        <v>0</v>
      </c>
      <c r="G7" s="240">
        <v>11861.48</v>
      </c>
      <c r="H7" s="237" t="s">
        <v>910</v>
      </c>
      <c r="I7" s="223">
        <f>VLOOKUP(A7,'HK 12.2.2014'!B:H,7,0)</f>
        <v>11861.48</v>
      </c>
      <c r="J7" s="223">
        <f t="shared" si="0"/>
        <v>0</v>
      </c>
    </row>
    <row r="8" spans="1:10">
      <c r="A8" s="237">
        <v>216000000</v>
      </c>
      <c r="B8" s="240">
        <v>0</v>
      </c>
      <c r="C8" s="240">
        <v>0</v>
      </c>
      <c r="D8" s="240">
        <v>0</v>
      </c>
      <c r="E8" s="240">
        <v>13286.92</v>
      </c>
      <c r="F8" s="240">
        <v>0</v>
      </c>
      <c r="G8" s="240">
        <v>13286.92</v>
      </c>
      <c r="H8" s="237" t="s">
        <v>911</v>
      </c>
      <c r="I8" s="223">
        <f>VLOOKUP(A8,'HK 12.2.2014'!B:H,7,0)</f>
        <v>13286.92</v>
      </c>
      <c r="J8" s="223">
        <f t="shared" si="0"/>
        <v>0</v>
      </c>
    </row>
    <row r="9" spans="1:10">
      <c r="A9" s="237">
        <v>217000000</v>
      </c>
      <c r="B9" s="240">
        <v>0</v>
      </c>
      <c r="C9" s="240">
        <v>0</v>
      </c>
      <c r="D9" s="240">
        <v>0</v>
      </c>
      <c r="E9" s="240">
        <v>12625.12</v>
      </c>
      <c r="F9" s="240">
        <v>0</v>
      </c>
      <c r="G9" s="240">
        <v>12625.12</v>
      </c>
      <c r="H9" s="237" t="s">
        <v>912</v>
      </c>
      <c r="I9" s="223">
        <f>VLOOKUP(A9,'HK 12.2.2014'!B:H,7,0)</f>
        <v>12625.12</v>
      </c>
      <c r="J9" s="223">
        <f t="shared" si="0"/>
        <v>0</v>
      </c>
    </row>
    <row r="10" spans="1:10">
      <c r="A10" s="237">
        <v>221000000</v>
      </c>
      <c r="B10" s="240">
        <v>59172.53</v>
      </c>
      <c r="C10" s="240">
        <v>104351.21</v>
      </c>
      <c r="D10" s="240">
        <v>0</v>
      </c>
      <c r="E10" s="240">
        <v>106208.49</v>
      </c>
      <c r="F10" s="240">
        <v>0</v>
      </c>
      <c r="G10" s="240">
        <v>165381.01999999999</v>
      </c>
      <c r="H10" s="237" t="s">
        <v>913</v>
      </c>
      <c r="I10" s="223">
        <f>VLOOKUP(A10,'HK 12.2.2014'!B:H,7,0)</f>
        <v>165381.01999999999</v>
      </c>
      <c r="J10" s="223">
        <f t="shared" si="0"/>
        <v>0</v>
      </c>
    </row>
    <row r="11" spans="1:10">
      <c r="A11" s="237">
        <v>222000000</v>
      </c>
      <c r="B11" s="240">
        <v>3713.07</v>
      </c>
      <c r="C11" s="240">
        <v>0</v>
      </c>
      <c r="D11" s="240">
        <v>0</v>
      </c>
      <c r="E11" s="240">
        <v>0</v>
      </c>
      <c r="F11" s="240">
        <v>0</v>
      </c>
      <c r="G11" s="240">
        <v>3713.07</v>
      </c>
      <c r="H11" s="237" t="s">
        <v>914</v>
      </c>
      <c r="I11" s="223">
        <f>VLOOKUP(A11,'HK 12.2.2014'!B:H,7,0)</f>
        <v>3713.07</v>
      </c>
      <c r="J11" s="223">
        <f t="shared" si="0"/>
        <v>0</v>
      </c>
    </row>
    <row r="12" spans="1:10">
      <c r="A12" s="237">
        <v>223000000</v>
      </c>
      <c r="B12" s="240">
        <v>77250.600000000006</v>
      </c>
      <c r="C12" s="240">
        <v>0</v>
      </c>
      <c r="D12" s="240">
        <v>0</v>
      </c>
      <c r="E12" s="240">
        <v>4350.8900000000003</v>
      </c>
      <c r="F12" s="240">
        <v>0</v>
      </c>
      <c r="G12" s="240">
        <v>81601.490000000005</v>
      </c>
      <c r="H12" s="237" t="s">
        <v>915</v>
      </c>
      <c r="I12" s="223">
        <f>VLOOKUP(A12,'HK 12.2.2014'!B:H,7,0)</f>
        <v>81601.490000000005</v>
      </c>
      <c r="J12" s="223">
        <f t="shared" si="0"/>
        <v>0</v>
      </c>
    </row>
    <row r="13" spans="1:10">
      <c r="A13" s="237">
        <v>224000000</v>
      </c>
      <c r="B13" s="240">
        <v>1036555.6</v>
      </c>
      <c r="C13" s="240">
        <v>3200</v>
      </c>
      <c r="D13" s="240">
        <v>0</v>
      </c>
      <c r="E13" s="240">
        <v>3200</v>
      </c>
      <c r="F13" s="240">
        <v>0</v>
      </c>
      <c r="G13" s="240">
        <v>1039755.6</v>
      </c>
      <c r="H13" s="237" t="s">
        <v>916</v>
      </c>
      <c r="I13" s="223">
        <f>VLOOKUP(A13,'HK 12.2.2014'!B:H,7,0)</f>
        <v>1039755.6</v>
      </c>
      <c r="J13" s="223">
        <f t="shared" si="0"/>
        <v>0</v>
      </c>
    </row>
    <row r="14" spans="1:10">
      <c r="A14" s="237">
        <v>225000000</v>
      </c>
      <c r="B14" s="240">
        <v>0</v>
      </c>
      <c r="C14" s="240">
        <v>0</v>
      </c>
      <c r="D14" s="240">
        <v>0</v>
      </c>
      <c r="E14" s="240">
        <v>5920</v>
      </c>
      <c r="F14" s="240">
        <v>0</v>
      </c>
      <c r="G14" s="240">
        <v>5920</v>
      </c>
      <c r="H14" s="237" t="s">
        <v>917</v>
      </c>
      <c r="I14" s="223">
        <f>VLOOKUP(A14,'HK 12.2.2014'!B:H,7,0)</f>
        <v>5920</v>
      </c>
      <c r="J14" s="223">
        <f t="shared" si="0"/>
        <v>0</v>
      </c>
    </row>
    <row r="15" spans="1:10">
      <c r="A15" s="237">
        <v>226000000</v>
      </c>
      <c r="B15" s="240">
        <v>0</v>
      </c>
      <c r="C15" s="240">
        <v>0</v>
      </c>
      <c r="D15" s="240">
        <v>0</v>
      </c>
      <c r="E15" s="240">
        <v>320</v>
      </c>
      <c r="F15" s="240">
        <v>0</v>
      </c>
      <c r="G15" s="240">
        <v>320</v>
      </c>
      <c r="H15" s="237" t="s">
        <v>918</v>
      </c>
      <c r="I15" s="223">
        <f>VLOOKUP(A15,'HK 12.2.2014'!B:H,7,0)</f>
        <v>320</v>
      </c>
      <c r="J15" s="223">
        <f t="shared" si="0"/>
        <v>0</v>
      </c>
    </row>
    <row r="16" spans="1:10">
      <c r="A16" s="237">
        <v>231000000</v>
      </c>
      <c r="B16" s="240">
        <v>157933.35</v>
      </c>
      <c r="C16" s="240">
        <v>0</v>
      </c>
      <c r="D16" s="240">
        <v>0</v>
      </c>
      <c r="E16" s="240">
        <v>0</v>
      </c>
      <c r="F16" s="240">
        <v>0</v>
      </c>
      <c r="G16" s="240">
        <v>157933.35</v>
      </c>
      <c r="H16" s="237" t="s">
        <v>487</v>
      </c>
      <c r="I16" s="223">
        <f>VLOOKUP(A16,'HK 12.2.2014'!B:H,7,0)</f>
        <v>157933.35</v>
      </c>
      <c r="J16" s="223">
        <f t="shared" si="0"/>
        <v>0</v>
      </c>
    </row>
    <row r="17" spans="1:10">
      <c r="A17" s="237">
        <v>291000000</v>
      </c>
      <c r="B17" s="240">
        <v>115030.28</v>
      </c>
      <c r="C17" s="240">
        <v>0</v>
      </c>
      <c r="D17" s="240">
        <v>0</v>
      </c>
      <c r="E17" s="240">
        <v>0</v>
      </c>
      <c r="F17" s="240">
        <v>0</v>
      </c>
      <c r="G17" s="240">
        <v>115030.28</v>
      </c>
      <c r="H17" s="237" t="s">
        <v>919</v>
      </c>
      <c r="I17" s="223">
        <f>VLOOKUP(A17,'HK 12.2.2014'!B:H,7,0)</f>
        <v>115030.28</v>
      </c>
      <c r="J17" s="223">
        <f t="shared" si="0"/>
        <v>0</v>
      </c>
    </row>
    <row r="18" spans="1:10">
      <c r="A18" s="237">
        <v>411000000</v>
      </c>
      <c r="B18" s="240">
        <v>0</v>
      </c>
      <c r="C18" s="240">
        <v>0</v>
      </c>
      <c r="D18" s="240">
        <v>0</v>
      </c>
      <c r="E18" s="240">
        <v>2400</v>
      </c>
      <c r="F18" s="240">
        <v>2400</v>
      </c>
      <c r="G18" s="240">
        <v>0</v>
      </c>
      <c r="H18" s="237" t="s">
        <v>920</v>
      </c>
      <c r="I18" s="223">
        <f>VLOOKUP(A18,'HK 12.2.2014'!B:H,7,0)</f>
        <v>0</v>
      </c>
      <c r="J18" s="223">
        <f t="shared" si="0"/>
        <v>0</v>
      </c>
    </row>
    <row r="19" spans="1:10">
      <c r="A19" s="237">
        <v>421000000</v>
      </c>
      <c r="B19" s="240">
        <v>103072</v>
      </c>
      <c r="C19" s="240">
        <v>0</v>
      </c>
      <c r="D19" s="240">
        <v>103072</v>
      </c>
      <c r="E19" s="240">
        <v>0</v>
      </c>
      <c r="F19" s="240">
        <v>103072</v>
      </c>
      <c r="G19" s="240">
        <v>0</v>
      </c>
      <c r="H19" s="237" t="s">
        <v>921</v>
      </c>
      <c r="I19" s="223">
        <f>VLOOKUP(A19,'HK 12.2.2014'!B:H,7,0)</f>
        <v>0</v>
      </c>
      <c r="J19" s="223">
        <f t="shared" si="0"/>
        <v>0</v>
      </c>
    </row>
    <row r="20" spans="1:10">
      <c r="A20" s="237">
        <v>422000000</v>
      </c>
      <c r="B20" s="240">
        <v>0</v>
      </c>
      <c r="C20" s="240">
        <v>47235.65</v>
      </c>
      <c r="D20" s="240">
        <v>37471.599999999999</v>
      </c>
      <c r="E20" s="240">
        <v>237354.99</v>
      </c>
      <c r="F20" s="240">
        <v>196025.47</v>
      </c>
      <c r="G20" s="240">
        <v>41329.519999999997</v>
      </c>
      <c r="H20" s="237" t="s">
        <v>922</v>
      </c>
      <c r="I20" s="223">
        <f>VLOOKUP(A20,'HK 12.2.2014'!B:H,7,0)</f>
        <v>41329.519999999997</v>
      </c>
      <c r="J20" s="223">
        <f t="shared" si="0"/>
        <v>0</v>
      </c>
    </row>
    <row r="21" spans="1:10">
      <c r="A21" s="237">
        <v>423000000</v>
      </c>
      <c r="B21" s="240">
        <v>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37" t="s">
        <v>923</v>
      </c>
      <c r="I21" s="223">
        <f>VLOOKUP(A21,'HK 12.2.2014'!B:H,7,0)</f>
        <v>0</v>
      </c>
      <c r="J21" s="223">
        <f t="shared" si="0"/>
        <v>0</v>
      </c>
    </row>
    <row r="22" spans="1:10">
      <c r="A22" s="237">
        <v>424000000</v>
      </c>
      <c r="B22" s="240">
        <v>0</v>
      </c>
      <c r="C22" s="240">
        <v>6129.07</v>
      </c>
      <c r="D22" s="240">
        <v>239251.5</v>
      </c>
      <c r="E22" s="240">
        <v>239251.5</v>
      </c>
      <c r="F22" s="240">
        <v>239251.5</v>
      </c>
      <c r="G22" s="240">
        <v>0</v>
      </c>
      <c r="H22" s="237" t="s">
        <v>924</v>
      </c>
      <c r="I22" s="223">
        <f>VLOOKUP(A22,'HK 12.2.2014'!B:H,7,0)</f>
        <v>0</v>
      </c>
      <c r="J22" s="223">
        <f t="shared" si="0"/>
        <v>0</v>
      </c>
    </row>
    <row r="23" spans="1:10">
      <c r="A23" s="237">
        <v>521000000</v>
      </c>
      <c r="B23" s="240">
        <v>0</v>
      </c>
      <c r="C23" s="240">
        <v>0</v>
      </c>
      <c r="D23" s="240">
        <v>0</v>
      </c>
      <c r="E23" s="240">
        <v>6038.02</v>
      </c>
      <c r="F23" s="240">
        <v>6038.02</v>
      </c>
      <c r="G23" s="240">
        <v>0</v>
      </c>
      <c r="H23" s="237" t="s">
        <v>925</v>
      </c>
      <c r="I23" s="223">
        <f>VLOOKUP(A23,'HK 12.2.2014'!B:H,7,0)</f>
        <v>0</v>
      </c>
      <c r="J23" s="223">
        <f t="shared" si="0"/>
        <v>0</v>
      </c>
    </row>
    <row r="24" spans="1:10">
      <c r="A24" s="237">
        <v>731000000</v>
      </c>
      <c r="B24" s="240">
        <v>-67383.360000000001</v>
      </c>
      <c r="C24" s="240">
        <v>0</v>
      </c>
      <c r="D24" s="240">
        <v>2091.92</v>
      </c>
      <c r="E24" s="240">
        <v>0</v>
      </c>
      <c r="F24" s="240">
        <v>24803.040000000001</v>
      </c>
      <c r="G24" s="240">
        <v>-92186.4</v>
      </c>
      <c r="H24" s="237" t="s">
        <v>926</v>
      </c>
      <c r="I24" s="223">
        <f>VLOOKUP(A24,'HK 12.2.2014'!B:H,7,0)</f>
        <v>-92186.4</v>
      </c>
      <c r="J24" s="223">
        <f t="shared" si="0"/>
        <v>0</v>
      </c>
    </row>
    <row r="25" spans="1:10">
      <c r="A25" s="237">
        <v>811000000</v>
      </c>
      <c r="B25" s="240">
        <v>-1352.42</v>
      </c>
      <c r="C25" s="240">
        <v>0</v>
      </c>
      <c r="D25" s="240">
        <v>3135.02</v>
      </c>
      <c r="E25" s="240">
        <v>0</v>
      </c>
      <c r="F25" s="240">
        <v>8693.7999999999993</v>
      </c>
      <c r="G25" s="240">
        <v>-10046.219999999999</v>
      </c>
      <c r="H25" s="237" t="s">
        <v>488</v>
      </c>
      <c r="I25" s="223">
        <f>VLOOKUP(A25,'HK 12.2.2014'!B:H,7,0)</f>
        <v>-10079.58</v>
      </c>
      <c r="J25" s="223">
        <f t="shared" si="0"/>
        <v>-33.360000000000582</v>
      </c>
    </row>
    <row r="26" spans="1:10">
      <c r="A26" s="237">
        <v>821000000</v>
      </c>
      <c r="B26" s="240">
        <v>-28576.1</v>
      </c>
      <c r="C26" s="240">
        <v>0</v>
      </c>
      <c r="D26" s="240">
        <v>961.99</v>
      </c>
      <c r="E26" s="240">
        <v>0</v>
      </c>
      <c r="F26" s="240">
        <v>6657.72</v>
      </c>
      <c r="G26" s="240">
        <v>-35233.82</v>
      </c>
      <c r="H26" s="237" t="s">
        <v>927</v>
      </c>
      <c r="I26" s="223">
        <f>VLOOKUP(A26,'HK 12.2.2014'!B:H,7,0)</f>
        <v>-35233.82</v>
      </c>
      <c r="J26" s="223">
        <f t="shared" si="0"/>
        <v>0</v>
      </c>
    </row>
    <row r="27" spans="1:10">
      <c r="A27" s="237">
        <v>822000000</v>
      </c>
      <c r="B27" s="240">
        <v>-3713.07</v>
      </c>
      <c r="C27" s="240">
        <v>0</v>
      </c>
      <c r="D27" s="240">
        <v>0</v>
      </c>
      <c r="E27" s="240">
        <v>0</v>
      </c>
      <c r="F27" s="240">
        <v>0</v>
      </c>
      <c r="G27" s="240">
        <v>-3713.07</v>
      </c>
      <c r="H27" s="237" t="s">
        <v>928</v>
      </c>
      <c r="I27" s="223">
        <f>VLOOKUP(A27,'HK 12.2.2014'!B:H,7,0)</f>
        <v>-3713.07</v>
      </c>
      <c r="J27" s="223">
        <f t="shared" si="0"/>
        <v>0</v>
      </c>
    </row>
    <row r="28" spans="1:10">
      <c r="A28" s="237">
        <v>823000000</v>
      </c>
      <c r="B28" s="240">
        <v>-64925.26</v>
      </c>
      <c r="C28" s="240">
        <v>0</v>
      </c>
      <c r="D28" s="240">
        <v>419.85</v>
      </c>
      <c r="E28" s="240">
        <v>0</v>
      </c>
      <c r="F28" s="240">
        <v>4488.5600000000004</v>
      </c>
      <c r="G28" s="240">
        <v>-69413.820000000007</v>
      </c>
      <c r="H28" s="237" t="s">
        <v>929</v>
      </c>
      <c r="I28" s="223">
        <f>VLOOKUP(A28,'HK 12.2.2014'!B:H,7,0)</f>
        <v>-69413.820000000007</v>
      </c>
      <c r="J28" s="223">
        <f t="shared" si="0"/>
        <v>0</v>
      </c>
    </row>
    <row r="29" spans="1:10">
      <c r="A29" s="237">
        <v>824000000</v>
      </c>
      <c r="B29" s="240">
        <v>-984125.2</v>
      </c>
      <c r="C29" s="240">
        <v>0</v>
      </c>
      <c r="D29" s="240">
        <v>1634.98</v>
      </c>
      <c r="E29" s="240">
        <v>0</v>
      </c>
      <c r="F29" s="240">
        <v>18346.84</v>
      </c>
      <c r="G29" s="240">
        <v>-1002472.04</v>
      </c>
      <c r="H29" s="237" t="s">
        <v>930</v>
      </c>
      <c r="I29" s="223">
        <f>VLOOKUP(A29,'HK 12.2.2014'!B:H,7,0)</f>
        <v>-1002472.04</v>
      </c>
      <c r="J29" s="223">
        <f t="shared" si="0"/>
        <v>0</v>
      </c>
    </row>
    <row r="30" spans="1:10">
      <c r="A30" s="237">
        <v>831000000</v>
      </c>
      <c r="B30" s="240">
        <v>-157933.35</v>
      </c>
      <c r="C30" s="240">
        <v>0</v>
      </c>
      <c r="D30" s="240">
        <v>0</v>
      </c>
      <c r="E30" s="240">
        <v>0</v>
      </c>
      <c r="F30" s="240">
        <v>0</v>
      </c>
      <c r="G30" s="240">
        <v>-157933.35</v>
      </c>
      <c r="H30" s="237" t="s">
        <v>931</v>
      </c>
      <c r="I30" s="223">
        <f>VLOOKUP(A30,'HK 12.2.2014'!B:H,7,0)</f>
        <v>-157933.35</v>
      </c>
      <c r="J30" s="223">
        <f t="shared" si="0"/>
        <v>0</v>
      </c>
    </row>
    <row r="31" spans="1:10">
      <c r="A31" s="237">
        <v>891000000</v>
      </c>
      <c r="B31" s="240">
        <v>-36254.32</v>
      </c>
      <c r="C31" s="240">
        <v>0</v>
      </c>
      <c r="D31" s="240">
        <v>691.84</v>
      </c>
      <c r="E31" s="240">
        <v>0</v>
      </c>
      <c r="F31" s="240">
        <v>8302.08</v>
      </c>
      <c r="G31" s="240">
        <v>-44556.4</v>
      </c>
      <c r="H31" s="237" t="s">
        <v>932</v>
      </c>
      <c r="I31" s="223">
        <f>VLOOKUP(A31,'HK 12.2.2014'!B:H,7,0)</f>
        <v>-44556.4</v>
      </c>
      <c r="J31" s="223">
        <f t="shared" si="0"/>
        <v>0</v>
      </c>
    </row>
    <row r="32" spans="1:10">
      <c r="A32" s="237">
        <v>941000000</v>
      </c>
      <c r="B32" s="240">
        <v>-29036</v>
      </c>
      <c r="C32" s="240">
        <v>29036</v>
      </c>
      <c r="D32" s="240">
        <v>0</v>
      </c>
      <c r="E32" s="240">
        <v>29036</v>
      </c>
      <c r="F32" s="240">
        <v>0</v>
      </c>
      <c r="G32" s="240">
        <v>0</v>
      </c>
      <c r="H32" s="237" t="s">
        <v>933</v>
      </c>
      <c r="I32" s="223">
        <f>VLOOKUP(A32,'HK 12.2.2014'!B:H,7,0)</f>
        <v>0</v>
      </c>
      <c r="J32" s="223">
        <f t="shared" si="0"/>
        <v>0</v>
      </c>
    </row>
    <row r="33" spans="1:10">
      <c r="A33" s="237">
        <v>1111211000</v>
      </c>
      <c r="B33" s="240">
        <v>0</v>
      </c>
      <c r="C33" s="240">
        <v>4545.51</v>
      </c>
      <c r="D33" s="240">
        <v>4545.51</v>
      </c>
      <c r="E33" s="240">
        <v>64407.4</v>
      </c>
      <c r="F33" s="240">
        <v>64407.4</v>
      </c>
      <c r="G33" s="240">
        <v>0</v>
      </c>
      <c r="H33" s="237" t="s">
        <v>934</v>
      </c>
      <c r="I33" s="223">
        <f>VLOOKUP(A33,'HK 12.2.2014'!B:H,7,0)</f>
        <v>0</v>
      </c>
      <c r="J33" s="223">
        <f t="shared" si="0"/>
        <v>0</v>
      </c>
    </row>
    <row r="34" spans="1:10">
      <c r="A34" s="237">
        <v>1111212000</v>
      </c>
      <c r="B34" s="240">
        <v>0</v>
      </c>
      <c r="C34" s="240">
        <v>63.42</v>
      </c>
      <c r="D34" s="240">
        <v>63.42</v>
      </c>
      <c r="E34" s="240">
        <v>1029.74</v>
      </c>
      <c r="F34" s="240">
        <v>1029.74</v>
      </c>
      <c r="G34" s="240">
        <v>0</v>
      </c>
      <c r="H34" s="237" t="s">
        <v>935</v>
      </c>
      <c r="I34" s="223">
        <f>VLOOKUP(A34,'HK 12.2.2014'!B:H,7,0)</f>
        <v>0</v>
      </c>
      <c r="J34" s="223">
        <f t="shared" si="0"/>
        <v>0</v>
      </c>
    </row>
    <row r="35" spans="1:10">
      <c r="A35" s="237">
        <v>1111300000</v>
      </c>
      <c r="B35" s="240">
        <v>0</v>
      </c>
      <c r="C35" s="240">
        <v>28373.97</v>
      </c>
      <c r="D35" s="240">
        <v>28373.97</v>
      </c>
      <c r="E35" s="240">
        <v>307312.52</v>
      </c>
      <c r="F35" s="240">
        <v>307312.52</v>
      </c>
      <c r="G35" s="240">
        <v>0</v>
      </c>
      <c r="H35" s="237" t="s">
        <v>936</v>
      </c>
      <c r="I35" s="223">
        <f>VLOOKUP(A35,'HK 12.2.2014'!B:H,7,0)</f>
        <v>0</v>
      </c>
      <c r="J35" s="223">
        <f t="shared" si="0"/>
        <v>0</v>
      </c>
    </row>
    <row r="36" spans="1:10">
      <c r="A36" s="237">
        <v>1111400000</v>
      </c>
      <c r="B36" s="240">
        <v>0</v>
      </c>
      <c r="C36" s="240">
        <v>18008.22</v>
      </c>
      <c r="D36" s="240">
        <v>18165.34</v>
      </c>
      <c r="E36" s="240">
        <v>228307.71</v>
      </c>
      <c r="F36" s="240">
        <v>228307.71</v>
      </c>
      <c r="G36" s="240">
        <v>0</v>
      </c>
      <c r="H36" s="237" t="s">
        <v>937</v>
      </c>
      <c r="I36" s="223">
        <f>VLOOKUP(A36,'HK 12.2.2014'!B:H,7,0)</f>
        <v>0</v>
      </c>
      <c r="J36" s="223">
        <f t="shared" si="0"/>
        <v>0</v>
      </c>
    </row>
    <row r="37" spans="1:10">
      <c r="A37" s="237">
        <v>1111500000</v>
      </c>
      <c r="B37" s="240">
        <v>0</v>
      </c>
      <c r="C37" s="240">
        <v>5616.24</v>
      </c>
      <c r="D37" s="240">
        <v>5616.24</v>
      </c>
      <c r="E37" s="240">
        <v>78266.8</v>
      </c>
      <c r="F37" s="240">
        <v>78266.8</v>
      </c>
      <c r="G37" s="240">
        <v>0</v>
      </c>
      <c r="H37" s="237" t="s">
        <v>938</v>
      </c>
      <c r="I37" s="223">
        <f>VLOOKUP(A37,'HK 12.2.2014'!B:H,7,0)</f>
        <v>0</v>
      </c>
      <c r="J37" s="223">
        <f t="shared" si="0"/>
        <v>0</v>
      </c>
    </row>
    <row r="38" spans="1:10">
      <c r="A38" s="237">
        <v>1111611000</v>
      </c>
      <c r="B38" s="240">
        <v>0</v>
      </c>
      <c r="C38" s="240">
        <v>7025.91</v>
      </c>
      <c r="D38" s="240">
        <v>7025.91</v>
      </c>
      <c r="E38" s="240">
        <v>95562.78</v>
      </c>
      <c r="F38" s="240">
        <v>95562.78</v>
      </c>
      <c r="G38" s="240">
        <v>0</v>
      </c>
      <c r="H38" s="237" t="s">
        <v>939</v>
      </c>
      <c r="I38" s="223">
        <f>VLOOKUP(A38,'HK 12.2.2014'!B:H,7,0)</f>
        <v>0</v>
      </c>
      <c r="J38" s="223">
        <f t="shared" si="0"/>
        <v>0</v>
      </c>
    </row>
    <row r="39" spans="1:10">
      <c r="A39" s="237">
        <v>1111711000</v>
      </c>
      <c r="B39" s="240">
        <v>0</v>
      </c>
      <c r="C39" s="240">
        <v>1995.01</v>
      </c>
      <c r="D39" s="240">
        <v>1995.01</v>
      </c>
      <c r="E39" s="240">
        <v>36445.599999999999</v>
      </c>
      <c r="F39" s="240">
        <v>36445.599999999999</v>
      </c>
      <c r="G39" s="240">
        <v>0</v>
      </c>
      <c r="H39" s="237" t="s">
        <v>940</v>
      </c>
      <c r="I39" s="223">
        <f>VLOOKUP(A39,'HK 12.2.2014'!B:H,7,0)</f>
        <v>0</v>
      </c>
      <c r="J39" s="223">
        <f t="shared" si="0"/>
        <v>0</v>
      </c>
    </row>
    <row r="40" spans="1:10">
      <c r="A40" s="237">
        <v>1111712000</v>
      </c>
      <c r="B40" s="240">
        <v>0</v>
      </c>
      <c r="C40" s="240">
        <v>2085.8000000000002</v>
      </c>
      <c r="D40" s="240">
        <v>2085.8000000000002</v>
      </c>
      <c r="E40" s="240">
        <v>26217.23</v>
      </c>
      <c r="F40" s="240">
        <v>26217.23</v>
      </c>
      <c r="G40" s="240">
        <v>0</v>
      </c>
      <c r="H40" s="237" t="s">
        <v>941</v>
      </c>
      <c r="I40" s="223">
        <f>VLOOKUP(A40,'HK 12.2.2014'!B:H,7,0)</f>
        <v>0</v>
      </c>
      <c r="J40" s="223">
        <f t="shared" si="0"/>
        <v>0</v>
      </c>
    </row>
    <row r="41" spans="1:10">
      <c r="A41" s="237">
        <v>1111811000</v>
      </c>
      <c r="B41" s="240">
        <v>0</v>
      </c>
      <c r="C41" s="240">
        <v>902.47</v>
      </c>
      <c r="D41" s="240">
        <v>902.47</v>
      </c>
      <c r="E41" s="240">
        <v>11107.94</v>
      </c>
      <c r="F41" s="240">
        <v>11107.94</v>
      </c>
      <c r="G41" s="240">
        <v>0</v>
      </c>
      <c r="H41" s="237" t="s">
        <v>942</v>
      </c>
      <c r="I41" s="223">
        <f>VLOOKUP(A41,'HK 12.2.2014'!B:H,7,0)</f>
        <v>0</v>
      </c>
      <c r="J41" s="223">
        <f t="shared" si="0"/>
        <v>0</v>
      </c>
    </row>
    <row r="42" spans="1:10">
      <c r="A42" s="237">
        <v>1121100000</v>
      </c>
      <c r="B42" s="240">
        <v>62376.28</v>
      </c>
      <c r="C42" s="240">
        <v>15622.72</v>
      </c>
      <c r="D42" s="240">
        <v>0</v>
      </c>
      <c r="E42" s="240">
        <v>15622.72</v>
      </c>
      <c r="F42" s="240">
        <v>0</v>
      </c>
      <c r="G42" s="240">
        <v>77999</v>
      </c>
      <c r="H42" s="237" t="s">
        <v>943</v>
      </c>
      <c r="I42" s="223">
        <f>VLOOKUP(A42,'HK 12.2.2014'!B:H,7,0)</f>
        <v>77999</v>
      </c>
      <c r="J42" s="223">
        <f t="shared" si="0"/>
        <v>0</v>
      </c>
    </row>
    <row r="43" spans="1:10">
      <c r="A43" s="237">
        <v>1121211000</v>
      </c>
      <c r="B43" s="240">
        <v>1371.17</v>
      </c>
      <c r="C43" s="240">
        <v>4545.5</v>
      </c>
      <c r="D43" s="240">
        <v>4338.32</v>
      </c>
      <c r="E43" s="240">
        <v>64982.18</v>
      </c>
      <c r="F43" s="240">
        <v>64402.36</v>
      </c>
      <c r="G43" s="240">
        <v>1950.99</v>
      </c>
      <c r="H43" s="237" t="s">
        <v>944</v>
      </c>
      <c r="I43" s="223">
        <f>VLOOKUP(A43,'HK 12.2.2014'!B:H,7,0)</f>
        <v>1950.99</v>
      </c>
      <c r="J43" s="223">
        <f t="shared" si="0"/>
        <v>0</v>
      </c>
    </row>
    <row r="44" spans="1:10">
      <c r="A44" s="237">
        <v>1121212000</v>
      </c>
      <c r="B44" s="240">
        <v>0</v>
      </c>
      <c r="C44" s="240">
        <v>63.42</v>
      </c>
      <c r="D44" s="240">
        <v>63.42</v>
      </c>
      <c r="E44" s="240">
        <v>1029.73</v>
      </c>
      <c r="F44" s="240">
        <v>1029.73</v>
      </c>
      <c r="G44" s="240">
        <v>0</v>
      </c>
      <c r="H44" s="237" t="s">
        <v>945</v>
      </c>
      <c r="I44" s="223">
        <f>VLOOKUP(A44,'HK 12.2.2014'!B:H,7,0)</f>
        <v>0</v>
      </c>
      <c r="J44" s="223">
        <f t="shared" si="0"/>
        <v>0</v>
      </c>
    </row>
    <row r="45" spans="1:10">
      <c r="A45" s="237">
        <v>1121300000</v>
      </c>
      <c r="B45" s="240">
        <v>13378.25</v>
      </c>
      <c r="C45" s="240">
        <v>28444.13</v>
      </c>
      <c r="D45" s="240">
        <v>27859.25</v>
      </c>
      <c r="E45" s="240">
        <v>321415.39</v>
      </c>
      <c r="F45" s="240">
        <v>322459.59999999998</v>
      </c>
      <c r="G45" s="240">
        <v>12334.04</v>
      </c>
      <c r="H45" s="237" t="s">
        <v>946</v>
      </c>
      <c r="I45" s="223">
        <f>VLOOKUP(A45,'HK 12.2.2014'!B:H,7,0)</f>
        <v>12334.04</v>
      </c>
      <c r="J45" s="223">
        <f t="shared" si="0"/>
        <v>0</v>
      </c>
    </row>
    <row r="46" spans="1:10">
      <c r="A46" s="237">
        <v>1121411000</v>
      </c>
      <c r="B46" s="240">
        <v>16584.18</v>
      </c>
      <c r="C46" s="240">
        <v>18191.14</v>
      </c>
      <c r="D46" s="240">
        <v>19280.41</v>
      </c>
      <c r="E46" s="240">
        <v>215076.89</v>
      </c>
      <c r="F46" s="240">
        <v>227246.98</v>
      </c>
      <c r="G46" s="240">
        <v>4414.09</v>
      </c>
      <c r="H46" s="237" t="s">
        <v>947</v>
      </c>
      <c r="I46" s="223">
        <f>VLOOKUP(A46,'HK 12.2.2014'!B:H,7,0)</f>
        <v>4414.09</v>
      </c>
      <c r="J46" s="223">
        <f t="shared" si="0"/>
        <v>0</v>
      </c>
    </row>
    <row r="47" spans="1:10">
      <c r="A47" s="237">
        <v>1121500000</v>
      </c>
      <c r="B47" s="240">
        <v>2477.3000000000002</v>
      </c>
      <c r="C47" s="240">
        <v>5616.02</v>
      </c>
      <c r="D47" s="240">
        <v>5780.42</v>
      </c>
      <c r="E47" s="240">
        <v>78265.72</v>
      </c>
      <c r="F47" s="240">
        <v>77559.77</v>
      </c>
      <c r="G47" s="240">
        <v>3183.25</v>
      </c>
      <c r="H47" s="237" t="s">
        <v>948</v>
      </c>
      <c r="I47" s="223">
        <f>VLOOKUP(A47,'HK 12.2.2014'!B:H,7,0)</f>
        <v>3183.25</v>
      </c>
      <c r="J47" s="223">
        <f t="shared" si="0"/>
        <v>0</v>
      </c>
    </row>
    <row r="48" spans="1:10">
      <c r="A48" s="237">
        <v>1121611000</v>
      </c>
      <c r="B48" s="240">
        <v>3410.92</v>
      </c>
      <c r="C48" s="240">
        <v>7025.47</v>
      </c>
      <c r="D48" s="240">
        <v>6393.75</v>
      </c>
      <c r="E48" s="240">
        <v>95783.54</v>
      </c>
      <c r="F48" s="240">
        <v>95935.2</v>
      </c>
      <c r="G48" s="240">
        <v>3259.26</v>
      </c>
      <c r="H48" s="237" t="s">
        <v>949</v>
      </c>
      <c r="I48" s="223">
        <f>VLOOKUP(A48,'HK 12.2.2014'!B:H,7,0)</f>
        <v>3259.26</v>
      </c>
      <c r="J48" s="223">
        <f t="shared" si="0"/>
        <v>0</v>
      </c>
    </row>
    <row r="49" spans="1:10">
      <c r="A49" s="237">
        <v>1121711000</v>
      </c>
      <c r="B49" s="240">
        <v>2511.4</v>
      </c>
      <c r="C49" s="240">
        <v>2010.43</v>
      </c>
      <c r="D49" s="240">
        <v>2148.73</v>
      </c>
      <c r="E49" s="240">
        <v>36460.660000000003</v>
      </c>
      <c r="F49" s="240">
        <v>36502.47</v>
      </c>
      <c r="G49" s="240">
        <v>2469.59</v>
      </c>
      <c r="H49" s="237" t="s">
        <v>950</v>
      </c>
      <c r="I49" s="223">
        <f>VLOOKUP(A49,'HK 12.2.2014'!B:H,7,0)</f>
        <v>2469.59</v>
      </c>
      <c r="J49" s="223">
        <f t="shared" si="0"/>
        <v>0</v>
      </c>
    </row>
    <row r="50" spans="1:10">
      <c r="A50" s="237">
        <v>1121712000</v>
      </c>
      <c r="B50" s="240">
        <v>2772.72</v>
      </c>
      <c r="C50" s="240">
        <v>2085.81</v>
      </c>
      <c r="D50" s="240">
        <v>1629.51</v>
      </c>
      <c r="E50" s="240">
        <v>26216.97</v>
      </c>
      <c r="F50" s="240">
        <v>25165.16</v>
      </c>
      <c r="G50" s="240">
        <v>3824.53</v>
      </c>
      <c r="H50" s="237" t="s">
        <v>951</v>
      </c>
      <c r="I50" s="223">
        <f>VLOOKUP(A50,'HK 12.2.2014'!B:H,7,0)</f>
        <v>3824.53</v>
      </c>
      <c r="J50" s="223">
        <f t="shared" si="0"/>
        <v>0</v>
      </c>
    </row>
    <row r="51" spans="1:10">
      <c r="A51" s="237">
        <v>1121811000</v>
      </c>
      <c r="B51" s="240">
        <v>3039.21</v>
      </c>
      <c r="C51" s="240">
        <v>902.44</v>
      </c>
      <c r="D51" s="240">
        <v>1071.81</v>
      </c>
      <c r="E51" s="240">
        <v>10892</v>
      </c>
      <c r="F51" s="240">
        <v>10557.04</v>
      </c>
      <c r="G51" s="240">
        <v>3374.17</v>
      </c>
      <c r="H51" s="237" t="s">
        <v>952</v>
      </c>
      <c r="I51" s="223">
        <f>VLOOKUP(A51,'HK 12.2.2014'!B:H,7,0)</f>
        <v>3374.17</v>
      </c>
      <c r="J51" s="223">
        <f t="shared" si="0"/>
        <v>0</v>
      </c>
    </row>
    <row r="52" spans="1:10">
      <c r="A52" s="237">
        <v>1121900000</v>
      </c>
      <c r="B52" s="240">
        <v>411.61</v>
      </c>
      <c r="C52" s="240">
        <v>0</v>
      </c>
      <c r="D52" s="240">
        <v>0</v>
      </c>
      <c r="E52" s="240">
        <v>0</v>
      </c>
      <c r="F52" s="240">
        <v>0</v>
      </c>
      <c r="G52" s="240">
        <v>411.61</v>
      </c>
      <c r="H52" s="237" t="s">
        <v>953</v>
      </c>
      <c r="I52" s="223">
        <f>VLOOKUP(A52,'HK 12.2.2014'!B:H,7,0)</f>
        <v>411.61</v>
      </c>
      <c r="J52" s="223">
        <f t="shared" si="0"/>
        <v>0</v>
      </c>
    </row>
    <row r="53" spans="1:10">
      <c r="A53" s="237">
        <v>1190000000</v>
      </c>
      <c r="B53" s="240">
        <v>0</v>
      </c>
      <c r="C53" s="240">
        <v>0</v>
      </c>
      <c r="D53" s="240">
        <v>0</v>
      </c>
      <c r="E53" s="240">
        <v>0</v>
      </c>
      <c r="F53" s="240">
        <v>0</v>
      </c>
      <c r="G53" s="240">
        <v>0</v>
      </c>
      <c r="H53" s="237" t="s">
        <v>559</v>
      </c>
      <c r="I53" s="223">
        <f>VLOOKUP(A53,'HK 12.2.2014'!B:H,7,0)</f>
        <v>0</v>
      </c>
      <c r="J53" s="223">
        <f t="shared" si="0"/>
        <v>0</v>
      </c>
    </row>
    <row r="54" spans="1:10">
      <c r="A54" s="237">
        <v>1191000000</v>
      </c>
      <c r="B54" s="240">
        <v>0</v>
      </c>
      <c r="C54" s="240">
        <v>110.24</v>
      </c>
      <c r="D54" s="240">
        <v>15.42</v>
      </c>
      <c r="E54" s="240">
        <v>185.42</v>
      </c>
      <c r="F54" s="240">
        <v>15.42</v>
      </c>
      <c r="G54" s="240">
        <v>170</v>
      </c>
      <c r="H54" s="237" t="s">
        <v>954</v>
      </c>
      <c r="I54" s="223">
        <f>VLOOKUP(A54,'HK 12.2.2014'!B:H,7,0)</f>
        <v>170</v>
      </c>
      <c r="J54" s="223">
        <f t="shared" si="0"/>
        <v>0</v>
      </c>
    </row>
    <row r="55" spans="1:10">
      <c r="A55" s="237">
        <v>1321000000</v>
      </c>
      <c r="B55" s="240">
        <v>24973.45</v>
      </c>
      <c r="C55" s="240">
        <v>0</v>
      </c>
      <c r="D55" s="240">
        <v>0</v>
      </c>
      <c r="E55" s="240">
        <v>47704.36</v>
      </c>
      <c r="F55" s="240">
        <v>72677.81</v>
      </c>
      <c r="G55" s="240">
        <v>0</v>
      </c>
      <c r="H55" s="237" t="s">
        <v>955</v>
      </c>
      <c r="I55" s="223">
        <f>VLOOKUP(A55,'HK 12.2.2014'!B:H,7,0)</f>
        <v>0</v>
      </c>
      <c r="J55" s="223">
        <f t="shared" si="0"/>
        <v>0</v>
      </c>
    </row>
    <row r="56" spans="1:10">
      <c r="A56" s="237">
        <v>2111000000</v>
      </c>
      <c r="B56" s="240">
        <v>7950.94</v>
      </c>
      <c r="C56" s="240">
        <v>11185.86</v>
      </c>
      <c r="D56" s="240">
        <v>11488.27</v>
      </c>
      <c r="E56" s="240">
        <v>133793.67000000001</v>
      </c>
      <c r="F56" s="240">
        <v>135786.12</v>
      </c>
      <c r="G56" s="240">
        <v>5958.49</v>
      </c>
      <c r="H56" s="237" t="s">
        <v>956</v>
      </c>
      <c r="I56" s="223">
        <f>VLOOKUP(A56,'HK 12.2.2014'!B:H,7,0)</f>
        <v>5958.49</v>
      </c>
      <c r="J56" s="223">
        <f t="shared" si="0"/>
        <v>0</v>
      </c>
    </row>
    <row r="57" spans="1:10">
      <c r="A57" s="237">
        <v>2131000000</v>
      </c>
      <c r="B57" s="240">
        <v>20.51</v>
      </c>
      <c r="C57" s="240">
        <v>0</v>
      </c>
      <c r="D57" s="240">
        <v>0</v>
      </c>
      <c r="E57" s="240">
        <v>0</v>
      </c>
      <c r="F57" s="240">
        <v>20.51</v>
      </c>
      <c r="G57" s="240">
        <v>0</v>
      </c>
      <c r="H57" s="237" t="s">
        <v>957</v>
      </c>
      <c r="I57" s="223">
        <f>VLOOKUP(A57,'HK 12.2.2014'!B:H,7,0)</f>
        <v>0</v>
      </c>
      <c r="J57" s="223">
        <f t="shared" si="0"/>
        <v>0</v>
      </c>
    </row>
    <row r="58" spans="1:10">
      <c r="A58" s="237">
        <v>2132000000</v>
      </c>
      <c r="B58" s="240">
        <v>626</v>
      </c>
      <c r="C58" s="240">
        <v>0</v>
      </c>
      <c r="D58" s="240">
        <v>125</v>
      </c>
      <c r="E58" s="240">
        <v>6550</v>
      </c>
      <c r="F58" s="240">
        <v>6768</v>
      </c>
      <c r="G58" s="240">
        <v>408</v>
      </c>
      <c r="H58" s="237" t="s">
        <v>958</v>
      </c>
      <c r="I58" s="223">
        <f>VLOOKUP(A58,'HK 12.2.2014'!B:H,7,0)</f>
        <v>408</v>
      </c>
      <c r="J58" s="223">
        <f t="shared" si="0"/>
        <v>0</v>
      </c>
    </row>
    <row r="59" spans="1:10">
      <c r="A59" s="237">
        <v>2133000000</v>
      </c>
      <c r="B59" s="240">
        <v>19.920000000000002</v>
      </c>
      <c r="C59" s="240">
        <v>0</v>
      </c>
      <c r="D59" s="240">
        <v>0</v>
      </c>
      <c r="E59" s="240">
        <v>0</v>
      </c>
      <c r="F59" s="240">
        <v>19.920000000000002</v>
      </c>
      <c r="G59" s="240">
        <v>0</v>
      </c>
      <c r="H59" s="237" t="s">
        <v>959</v>
      </c>
      <c r="I59" s="223">
        <f>VLOOKUP(A59,'HK 12.2.2014'!B:H,7,0)</f>
        <v>0</v>
      </c>
      <c r="J59" s="223">
        <f t="shared" si="0"/>
        <v>0</v>
      </c>
    </row>
    <row r="60" spans="1:10">
      <c r="A60" s="237">
        <v>2135000000</v>
      </c>
      <c r="B60" s="240">
        <v>44.81</v>
      </c>
      <c r="C60" s="240">
        <v>0</v>
      </c>
      <c r="D60" s="240">
        <v>0</v>
      </c>
      <c r="E60" s="240">
        <v>0</v>
      </c>
      <c r="F60" s="240">
        <v>44.81</v>
      </c>
      <c r="G60" s="240">
        <v>0</v>
      </c>
      <c r="H60" s="237" t="s">
        <v>960</v>
      </c>
      <c r="I60" s="223">
        <f>VLOOKUP(A60,'HK 12.2.2014'!B:H,7,0)</f>
        <v>0</v>
      </c>
      <c r="J60" s="223">
        <f t="shared" si="0"/>
        <v>0</v>
      </c>
    </row>
    <row r="61" spans="1:10">
      <c r="A61" s="237">
        <v>2136000000</v>
      </c>
      <c r="B61" s="240">
        <v>50</v>
      </c>
      <c r="C61" s="240">
        <v>0</v>
      </c>
      <c r="D61" s="240">
        <v>0</v>
      </c>
      <c r="E61" s="240">
        <v>0</v>
      </c>
      <c r="F61" s="240">
        <v>50</v>
      </c>
      <c r="G61" s="240">
        <v>0</v>
      </c>
      <c r="H61" s="237" t="s">
        <v>961</v>
      </c>
      <c r="I61" s="223">
        <f>VLOOKUP(A61,'HK 12.2.2014'!B:H,7,0)</f>
        <v>0</v>
      </c>
      <c r="J61" s="223">
        <f t="shared" si="0"/>
        <v>0</v>
      </c>
    </row>
    <row r="62" spans="1:10">
      <c r="A62" s="237">
        <v>2211000000</v>
      </c>
      <c r="B62" s="240">
        <v>203348.47</v>
      </c>
      <c r="C62" s="240">
        <v>0</v>
      </c>
      <c r="D62" s="240">
        <v>0</v>
      </c>
      <c r="E62" s="240">
        <v>2123388.16</v>
      </c>
      <c r="F62" s="240">
        <v>2326736.63</v>
      </c>
      <c r="G62" s="240">
        <v>0</v>
      </c>
      <c r="H62" s="237" t="s">
        <v>962</v>
      </c>
      <c r="I62" s="223">
        <f>VLOOKUP(A62,'HK 12.2.2014'!B:H,7,0)</f>
        <v>0</v>
      </c>
      <c r="J62" s="223">
        <f t="shared" si="0"/>
        <v>0</v>
      </c>
    </row>
    <row r="63" spans="1:10">
      <c r="A63" s="237">
        <v>2212000000</v>
      </c>
      <c r="B63" s="240">
        <v>1393.91</v>
      </c>
      <c r="C63" s="240">
        <v>1000</v>
      </c>
      <c r="D63" s="240">
        <v>330.2</v>
      </c>
      <c r="E63" s="240">
        <v>1324827.3</v>
      </c>
      <c r="F63" s="240">
        <v>1324891.55</v>
      </c>
      <c r="G63" s="240">
        <v>1329.66</v>
      </c>
      <c r="H63" s="237" t="s">
        <v>963</v>
      </c>
      <c r="I63" s="223">
        <f>VLOOKUP(A63,'HK 12.2.2014'!B:H,7,0)</f>
        <v>1329.66</v>
      </c>
      <c r="J63" s="223">
        <f t="shared" si="0"/>
        <v>0</v>
      </c>
    </row>
    <row r="64" spans="1:10">
      <c r="A64" s="237">
        <v>2213000000</v>
      </c>
      <c r="B64" s="240">
        <v>0</v>
      </c>
      <c r="C64" s="240">
        <v>956757.39</v>
      </c>
      <c r="D64" s="240">
        <v>956757.39</v>
      </c>
      <c r="E64" s="240">
        <v>8579867.9299999997</v>
      </c>
      <c r="F64" s="240">
        <v>8579867.9299999997</v>
      </c>
      <c r="G64" s="240">
        <v>0</v>
      </c>
      <c r="H64" s="237" t="s">
        <v>964</v>
      </c>
      <c r="I64" s="223">
        <f>VLOOKUP(A64,'HK 12.2.2014'!B:H,7,0)</f>
        <v>0</v>
      </c>
      <c r="J64" s="223">
        <f t="shared" si="0"/>
        <v>0</v>
      </c>
    </row>
    <row r="65" spans="1:10">
      <c r="A65" s="237">
        <v>2218000000</v>
      </c>
      <c r="B65" s="240">
        <v>3404.09</v>
      </c>
      <c r="C65" s="240">
        <v>0.03</v>
      </c>
      <c r="D65" s="240">
        <v>4.25</v>
      </c>
      <c r="E65" s="240">
        <v>0.36</v>
      </c>
      <c r="F65" s="240">
        <v>47.5</v>
      </c>
      <c r="G65" s="240">
        <v>3356.95</v>
      </c>
      <c r="H65" s="237" t="s">
        <v>965</v>
      </c>
      <c r="I65" s="223">
        <f>VLOOKUP(A65,'HK 12.2.2014'!B:H,7,0)</f>
        <v>3356.95</v>
      </c>
      <c r="J65" s="223">
        <f t="shared" si="0"/>
        <v>0</v>
      </c>
    </row>
    <row r="66" spans="1:10">
      <c r="A66" s="237">
        <v>2219000000</v>
      </c>
      <c r="B66" s="240">
        <v>3534.29</v>
      </c>
      <c r="C66" s="240">
        <v>0</v>
      </c>
      <c r="D66" s="240">
        <v>4.25</v>
      </c>
      <c r="E66" s="240">
        <v>0</v>
      </c>
      <c r="F66" s="240">
        <v>67.91</v>
      </c>
      <c r="G66" s="240">
        <v>3466.38</v>
      </c>
      <c r="H66" s="237" t="s">
        <v>966</v>
      </c>
      <c r="I66" s="223">
        <f>VLOOKUP(A66,'HK 12.2.2014'!B:H,7,0)</f>
        <v>3466.38</v>
      </c>
      <c r="J66" s="223">
        <f t="shared" si="0"/>
        <v>0</v>
      </c>
    </row>
    <row r="67" spans="1:10">
      <c r="A67" s="237">
        <v>2311000000</v>
      </c>
      <c r="B67" s="240">
        <v>-407529.32</v>
      </c>
      <c r="C67" s="240">
        <v>0</v>
      </c>
      <c r="D67" s="240">
        <v>0</v>
      </c>
      <c r="E67" s="240">
        <v>1727356.23</v>
      </c>
      <c r="F67" s="240">
        <v>1319826.9099999999</v>
      </c>
      <c r="G67" s="240">
        <v>0</v>
      </c>
      <c r="H67" s="237" t="s">
        <v>967</v>
      </c>
      <c r="I67" s="223">
        <f>VLOOKUP(A67,'HK 12.2.2014'!B:H,7,0)</f>
        <v>0</v>
      </c>
      <c r="J67" s="223">
        <f t="shared" ref="J67:J130" si="1">+I67-G67</f>
        <v>0</v>
      </c>
    </row>
    <row r="68" spans="1:10">
      <c r="A68" s="237">
        <v>2491000000</v>
      </c>
      <c r="B68" s="240">
        <v>0</v>
      </c>
      <c r="C68" s="240">
        <v>0</v>
      </c>
      <c r="D68" s="240">
        <v>0</v>
      </c>
      <c r="E68" s="240">
        <v>300000</v>
      </c>
      <c r="F68" s="240">
        <v>300000</v>
      </c>
      <c r="G68" s="240">
        <v>0</v>
      </c>
      <c r="H68" s="237" t="s">
        <v>968</v>
      </c>
      <c r="I68" s="223">
        <f>VLOOKUP(A68,'HK 12.2.2014'!B:H,7,0)</f>
        <v>0</v>
      </c>
      <c r="J68" s="223">
        <f t="shared" si="1"/>
        <v>0</v>
      </c>
    </row>
    <row r="69" spans="1:10">
      <c r="A69" s="237">
        <v>2492000000</v>
      </c>
      <c r="B69" s="240">
        <v>-92200</v>
      </c>
      <c r="C69" s="240">
        <v>0</v>
      </c>
      <c r="D69" s="240">
        <v>0</v>
      </c>
      <c r="E69" s="240">
        <v>0</v>
      </c>
      <c r="F69" s="240">
        <v>0</v>
      </c>
      <c r="G69" s="240">
        <v>-92200</v>
      </c>
      <c r="H69" s="237" t="s">
        <v>969</v>
      </c>
      <c r="I69" s="223">
        <f>VLOOKUP(A69,'HK 12.2.2014'!B:H,7,0)</f>
        <v>-92200</v>
      </c>
      <c r="J69" s="223">
        <f t="shared" si="1"/>
        <v>0</v>
      </c>
    </row>
    <row r="70" spans="1:10">
      <c r="A70" s="237">
        <v>2493000000</v>
      </c>
      <c r="B70" s="240">
        <v>-20747.75</v>
      </c>
      <c r="C70" s="240">
        <v>0</v>
      </c>
      <c r="D70" s="240">
        <v>-227.57</v>
      </c>
      <c r="E70" s="240">
        <v>0</v>
      </c>
      <c r="F70" s="240">
        <v>17859.25</v>
      </c>
      <c r="G70" s="240">
        <v>-38607</v>
      </c>
      <c r="H70" s="237" t="s">
        <v>970</v>
      </c>
      <c r="I70" s="223">
        <f>VLOOKUP(A70,'HK 12.2.2014'!B:H,7,0)</f>
        <v>-38607</v>
      </c>
      <c r="J70" s="223">
        <f t="shared" si="1"/>
        <v>0</v>
      </c>
    </row>
    <row r="71" spans="1:10">
      <c r="A71" s="237">
        <v>2494000000</v>
      </c>
      <c r="B71" s="240">
        <v>-185532.47</v>
      </c>
      <c r="C71" s="240">
        <v>0</v>
      </c>
      <c r="D71" s="240">
        <v>0</v>
      </c>
      <c r="E71" s="240">
        <v>0</v>
      </c>
      <c r="F71" s="240">
        <v>0</v>
      </c>
      <c r="G71" s="240">
        <v>-185532.47</v>
      </c>
      <c r="H71" s="237" t="s">
        <v>971</v>
      </c>
      <c r="I71" s="223">
        <f>VLOOKUP(A71,'HK 12.2.2014'!B:H,7,0)</f>
        <v>-185532.47</v>
      </c>
      <c r="J71" s="223">
        <f t="shared" si="1"/>
        <v>0</v>
      </c>
    </row>
    <row r="72" spans="1:10">
      <c r="A72" s="237">
        <v>2495000000</v>
      </c>
      <c r="B72" s="240">
        <v>0</v>
      </c>
      <c r="C72" s="240">
        <v>0</v>
      </c>
      <c r="D72" s="240">
        <v>0</v>
      </c>
      <c r="E72" s="240">
        <v>1273.97</v>
      </c>
      <c r="F72" s="240">
        <v>1273.97</v>
      </c>
      <c r="G72" s="240">
        <v>0</v>
      </c>
      <c r="H72" s="237" t="s">
        <v>972</v>
      </c>
      <c r="I72" s="223">
        <f>VLOOKUP(A72,'HK 12.2.2014'!B:H,7,0)</f>
        <v>0</v>
      </c>
      <c r="J72" s="223">
        <f t="shared" si="1"/>
        <v>0</v>
      </c>
    </row>
    <row r="73" spans="1:10">
      <c r="A73" s="237">
        <v>2610000000</v>
      </c>
      <c r="B73" s="240">
        <v>0</v>
      </c>
      <c r="C73" s="240">
        <v>0</v>
      </c>
      <c r="D73" s="240">
        <v>0</v>
      </c>
      <c r="E73" s="240">
        <v>0</v>
      </c>
      <c r="F73" s="240">
        <v>0</v>
      </c>
      <c r="G73" s="240">
        <v>0</v>
      </c>
      <c r="H73" s="237" t="s">
        <v>606</v>
      </c>
      <c r="I73" s="223">
        <f>VLOOKUP(A73,'HK 12.2.2014'!B:H,7,0)</f>
        <v>0</v>
      </c>
      <c r="J73" s="223">
        <f t="shared" si="1"/>
        <v>0</v>
      </c>
    </row>
    <row r="74" spans="1:10">
      <c r="A74" s="237">
        <v>2611000000</v>
      </c>
      <c r="B74" s="240">
        <v>0</v>
      </c>
      <c r="C74" s="240">
        <v>9075.2999999999993</v>
      </c>
      <c r="D74" s="240">
        <v>9075.2999999999993</v>
      </c>
      <c r="E74" s="240">
        <v>87069.42</v>
      </c>
      <c r="F74" s="240">
        <v>87069.42</v>
      </c>
      <c r="G74" s="240">
        <v>0</v>
      </c>
      <c r="H74" s="237" t="s">
        <v>973</v>
      </c>
      <c r="I74" s="223">
        <f>VLOOKUP(A74,'HK 12.2.2014'!B:H,7,0)</f>
        <v>0</v>
      </c>
      <c r="J74" s="223">
        <f t="shared" si="1"/>
        <v>0</v>
      </c>
    </row>
    <row r="75" spans="1:10">
      <c r="A75" s="237">
        <v>2612000000</v>
      </c>
      <c r="B75" s="240">
        <v>0</v>
      </c>
      <c r="C75" s="240">
        <v>1000</v>
      </c>
      <c r="D75" s="240">
        <v>1000</v>
      </c>
      <c r="E75" s="240">
        <v>2814122.15</v>
      </c>
      <c r="F75" s="240">
        <v>2814122.15</v>
      </c>
      <c r="G75" s="240">
        <v>0</v>
      </c>
      <c r="H75" s="237" t="s">
        <v>974</v>
      </c>
      <c r="I75" s="223">
        <f>VLOOKUP(A75,'HK 12.2.2014'!B:H,7,0)</f>
        <v>0</v>
      </c>
      <c r="J75" s="223">
        <f t="shared" si="1"/>
        <v>0</v>
      </c>
    </row>
    <row r="76" spans="1:10">
      <c r="A76" s="237">
        <v>3111000000</v>
      </c>
      <c r="B76" s="240">
        <v>852251.5</v>
      </c>
      <c r="C76" s="240">
        <v>463893.09</v>
      </c>
      <c r="D76" s="240">
        <v>366113.53</v>
      </c>
      <c r="E76" s="240">
        <v>5588900.3799999999</v>
      </c>
      <c r="F76" s="240">
        <v>5505398.04</v>
      </c>
      <c r="G76" s="240">
        <v>935753.84</v>
      </c>
      <c r="H76" s="237" t="s">
        <v>975</v>
      </c>
      <c r="I76" s="223">
        <f>VLOOKUP(A76,'HK 12.2.2014'!B:H,7,0)</f>
        <v>935753.84</v>
      </c>
      <c r="J76" s="223">
        <f t="shared" si="1"/>
        <v>0</v>
      </c>
    </row>
    <row r="77" spans="1:10">
      <c r="A77" s="237">
        <v>3111100000</v>
      </c>
      <c r="B77" s="240">
        <v>-21557.58</v>
      </c>
      <c r="C77" s="240">
        <v>-32559.599999999999</v>
      </c>
      <c r="D77" s="240">
        <v>0</v>
      </c>
      <c r="E77" s="240">
        <v>-32579.13</v>
      </c>
      <c r="F77" s="240">
        <v>-21577.11</v>
      </c>
      <c r="G77" s="240">
        <v>-32559.599999999999</v>
      </c>
      <c r="H77" s="237" t="s">
        <v>976</v>
      </c>
      <c r="I77" s="223">
        <f>VLOOKUP(A77,'HK 12.2.2014'!B:H,7,0)</f>
        <v>-56758.400000000001</v>
      </c>
      <c r="J77" s="223">
        <f t="shared" si="1"/>
        <v>-24198.800000000003</v>
      </c>
    </row>
    <row r="78" spans="1:10">
      <c r="A78" s="237">
        <v>3112000000</v>
      </c>
      <c r="B78" s="240">
        <v>92713.4</v>
      </c>
      <c r="C78" s="240">
        <v>22952.91</v>
      </c>
      <c r="D78" s="240">
        <v>25008.02</v>
      </c>
      <c r="E78" s="240">
        <v>244342.91</v>
      </c>
      <c r="F78" s="240">
        <v>300726.5</v>
      </c>
      <c r="G78" s="240">
        <v>36329.81</v>
      </c>
      <c r="H78" s="237" t="s">
        <v>977</v>
      </c>
      <c r="I78" s="223">
        <f>VLOOKUP(A78,'HK 12.2.2014'!B:H,7,0)</f>
        <v>36329.81</v>
      </c>
      <c r="J78" s="223">
        <f t="shared" si="1"/>
        <v>0</v>
      </c>
    </row>
    <row r="79" spans="1:10">
      <c r="A79" s="237">
        <v>3115200000</v>
      </c>
      <c r="B79" s="240">
        <v>7516.5</v>
      </c>
      <c r="C79" s="240">
        <v>22.85</v>
      </c>
      <c r="D79" s="240">
        <v>0</v>
      </c>
      <c r="E79" s="240">
        <v>42123.87</v>
      </c>
      <c r="F79" s="240">
        <v>48377.09</v>
      </c>
      <c r="G79" s="240">
        <v>1263.28</v>
      </c>
      <c r="H79" s="237" t="s">
        <v>978</v>
      </c>
      <c r="I79" s="223">
        <f>VLOOKUP(A79,'HK 12.2.2014'!B:H,7,0)</f>
        <v>1263.28</v>
      </c>
      <c r="J79" s="223">
        <f t="shared" si="1"/>
        <v>0</v>
      </c>
    </row>
    <row r="80" spans="1:10">
      <c r="A80" s="237">
        <v>3115300000</v>
      </c>
      <c r="B80" s="240">
        <v>633.67999999999995</v>
      </c>
      <c r="C80" s="240">
        <v>665</v>
      </c>
      <c r="D80" s="240">
        <v>5023.68</v>
      </c>
      <c r="E80" s="240">
        <v>16503.490000000002</v>
      </c>
      <c r="F80" s="240">
        <v>16443.97</v>
      </c>
      <c r="G80" s="240">
        <v>693.2</v>
      </c>
      <c r="H80" s="237" t="s">
        <v>979</v>
      </c>
      <c r="I80" s="223">
        <f>VLOOKUP(A80,'HK 12.2.2014'!B:H,7,0)</f>
        <v>693.2</v>
      </c>
      <c r="J80" s="223">
        <f t="shared" si="1"/>
        <v>0</v>
      </c>
    </row>
    <row r="81" spans="1:10">
      <c r="A81" s="237">
        <v>3115400000</v>
      </c>
      <c r="B81" s="240">
        <v>36048.61</v>
      </c>
      <c r="C81" s="240">
        <v>0</v>
      </c>
      <c r="D81" s="240">
        <v>0</v>
      </c>
      <c r="E81" s="240">
        <v>52931.519999999997</v>
      </c>
      <c r="F81" s="240">
        <v>88980.13</v>
      </c>
      <c r="G81" s="240">
        <v>0</v>
      </c>
      <c r="H81" s="237" t="s">
        <v>980</v>
      </c>
      <c r="I81" s="223">
        <f>VLOOKUP(A81,'HK 12.2.2014'!B:H,7,0)</f>
        <v>0</v>
      </c>
      <c r="J81" s="223">
        <f t="shared" si="1"/>
        <v>0</v>
      </c>
    </row>
    <row r="82" spans="1:10">
      <c r="A82" s="237">
        <v>3115500000</v>
      </c>
      <c r="B82" s="240">
        <v>963.2</v>
      </c>
      <c r="C82" s="240">
        <v>12034.68</v>
      </c>
      <c r="D82" s="240">
        <v>3289.02</v>
      </c>
      <c r="E82" s="240">
        <v>103349.71</v>
      </c>
      <c r="F82" s="240">
        <v>91261.24</v>
      </c>
      <c r="G82" s="240">
        <v>13051.67</v>
      </c>
      <c r="H82" s="237" t="s">
        <v>981</v>
      </c>
      <c r="I82" s="223">
        <f>VLOOKUP(A82,'HK 12.2.2014'!B:H,7,0)</f>
        <v>13051.67</v>
      </c>
      <c r="J82" s="223">
        <f t="shared" si="1"/>
        <v>0</v>
      </c>
    </row>
    <row r="83" spans="1:10">
      <c r="A83" s="237">
        <v>3115600000</v>
      </c>
      <c r="B83" s="240">
        <v>983.22</v>
      </c>
      <c r="C83" s="240">
        <v>0</v>
      </c>
      <c r="D83" s="240">
        <v>0</v>
      </c>
      <c r="E83" s="240">
        <v>0</v>
      </c>
      <c r="F83" s="240">
        <v>0</v>
      </c>
      <c r="G83" s="240">
        <v>983.22</v>
      </c>
      <c r="H83" s="237" t="s">
        <v>982</v>
      </c>
      <c r="I83" s="223">
        <f>VLOOKUP(A83,'HK 12.2.2014'!B:H,7,0)</f>
        <v>983.22</v>
      </c>
      <c r="J83" s="223">
        <f t="shared" si="1"/>
        <v>0</v>
      </c>
    </row>
    <row r="84" spans="1:10">
      <c r="A84" s="237">
        <v>3141000000</v>
      </c>
      <c r="B84" s="240">
        <v>0</v>
      </c>
      <c r="C84" s="240">
        <v>0</v>
      </c>
      <c r="D84" s="240">
        <v>0</v>
      </c>
      <c r="E84" s="240">
        <v>0</v>
      </c>
      <c r="F84" s="240">
        <v>0</v>
      </c>
      <c r="G84" s="240">
        <v>0</v>
      </c>
      <c r="H84" s="237" t="s">
        <v>983</v>
      </c>
      <c r="I84" s="223">
        <f>VLOOKUP(A84,'HK 12.2.2014'!B:H,7,0)</f>
        <v>0</v>
      </c>
      <c r="J84" s="223">
        <f t="shared" si="1"/>
        <v>0</v>
      </c>
    </row>
    <row r="85" spans="1:10">
      <c r="A85" s="237">
        <v>3142000000</v>
      </c>
      <c r="B85" s="240">
        <v>199.16</v>
      </c>
      <c r="C85" s="240">
        <v>0</v>
      </c>
      <c r="D85" s="240">
        <v>0</v>
      </c>
      <c r="E85" s="240">
        <v>0</v>
      </c>
      <c r="F85" s="240">
        <v>0</v>
      </c>
      <c r="G85" s="240">
        <v>199.16</v>
      </c>
      <c r="H85" s="237" t="s">
        <v>984</v>
      </c>
      <c r="I85" s="223">
        <f>VLOOKUP(A85,'HK 12.2.2014'!B:H,7,0)</f>
        <v>199.16</v>
      </c>
      <c r="J85" s="223">
        <f t="shared" si="1"/>
        <v>0</v>
      </c>
    </row>
    <row r="86" spans="1:10">
      <c r="A86" s="237">
        <v>3143000000</v>
      </c>
      <c r="B86" s="240">
        <v>0</v>
      </c>
      <c r="C86" s="240">
        <v>20736.39</v>
      </c>
      <c r="D86" s="240">
        <v>20736.39</v>
      </c>
      <c r="E86" s="240">
        <v>240520.02</v>
      </c>
      <c r="F86" s="240">
        <v>240520.02</v>
      </c>
      <c r="G86" s="240">
        <v>0</v>
      </c>
      <c r="H86" s="237" t="s">
        <v>985</v>
      </c>
      <c r="I86" s="223">
        <f>VLOOKUP(A86,'HK 12.2.2014'!B:H,7,0)</f>
        <v>0</v>
      </c>
      <c r="J86" s="223">
        <f t="shared" si="1"/>
        <v>0</v>
      </c>
    </row>
    <row r="87" spans="1:10">
      <c r="A87" s="237">
        <v>3151000000</v>
      </c>
      <c r="B87" s="240">
        <v>1621.85</v>
      </c>
      <c r="C87" s="240">
        <v>0</v>
      </c>
      <c r="D87" s="240">
        <v>0</v>
      </c>
      <c r="E87" s="240">
        <v>19674.55</v>
      </c>
      <c r="F87" s="240">
        <v>21296.400000000001</v>
      </c>
      <c r="G87" s="240">
        <v>0</v>
      </c>
      <c r="H87" s="237" t="s">
        <v>986</v>
      </c>
      <c r="I87" s="223">
        <f>VLOOKUP(A87,'HK 12.2.2014'!B:H,7,0)</f>
        <v>0</v>
      </c>
      <c r="J87" s="223">
        <f t="shared" si="1"/>
        <v>0</v>
      </c>
    </row>
    <row r="88" spans="1:10">
      <c r="A88" s="237">
        <v>3152000000</v>
      </c>
      <c r="B88" s="240">
        <v>0</v>
      </c>
      <c r="C88" s="240">
        <v>701</v>
      </c>
      <c r="D88" s="240">
        <v>701</v>
      </c>
      <c r="E88" s="240">
        <v>8441</v>
      </c>
      <c r="F88" s="240">
        <v>8441</v>
      </c>
      <c r="G88" s="240">
        <v>0</v>
      </c>
      <c r="H88" s="237" t="s">
        <v>987</v>
      </c>
      <c r="I88" s="223">
        <f>VLOOKUP(A88,'HK 12.2.2014'!B:H,7,0)</f>
        <v>0</v>
      </c>
      <c r="J88" s="223">
        <f t="shared" si="1"/>
        <v>0</v>
      </c>
    </row>
    <row r="89" spans="1:10">
      <c r="A89" s="237">
        <v>3153000000</v>
      </c>
      <c r="B89" s="240">
        <v>0</v>
      </c>
      <c r="C89" s="240">
        <v>0</v>
      </c>
      <c r="D89" s="240">
        <v>0</v>
      </c>
      <c r="E89" s="240">
        <v>850</v>
      </c>
      <c r="F89" s="240">
        <v>850</v>
      </c>
      <c r="G89" s="240">
        <v>0</v>
      </c>
      <c r="H89" s="237" t="s">
        <v>988</v>
      </c>
      <c r="I89" s="223">
        <f>VLOOKUP(A89,'HK 12.2.2014'!B:H,7,0)</f>
        <v>0</v>
      </c>
      <c r="J89" s="223">
        <f t="shared" si="1"/>
        <v>0</v>
      </c>
    </row>
    <row r="90" spans="1:10">
      <c r="A90" s="237">
        <v>3154000000</v>
      </c>
      <c r="B90" s="240">
        <v>0</v>
      </c>
      <c r="C90" s="240">
        <v>0</v>
      </c>
      <c r="D90" s="240">
        <v>0</v>
      </c>
      <c r="E90" s="240">
        <v>0</v>
      </c>
      <c r="F90" s="240">
        <v>0</v>
      </c>
      <c r="G90" s="240">
        <v>0</v>
      </c>
      <c r="H90" s="237" t="s">
        <v>1205</v>
      </c>
      <c r="I90" s="223">
        <f>VLOOKUP(A90,'HK 12.2.2014'!B:H,7,0)</f>
        <v>0</v>
      </c>
      <c r="J90" s="223">
        <f t="shared" si="1"/>
        <v>0</v>
      </c>
    </row>
    <row r="91" spans="1:10">
      <c r="A91" s="237">
        <v>3211000000</v>
      </c>
      <c r="B91" s="240">
        <v>-641155.61</v>
      </c>
      <c r="C91" s="240">
        <v>196528.67</v>
      </c>
      <c r="D91" s="240">
        <v>567652.15</v>
      </c>
      <c r="E91" s="240">
        <v>2606004.86</v>
      </c>
      <c r="F91" s="240">
        <v>2582920.85</v>
      </c>
      <c r="G91" s="240">
        <v>-618071.6</v>
      </c>
      <c r="H91" s="237" t="s">
        <v>989</v>
      </c>
      <c r="I91" s="223">
        <f>VLOOKUP(A91,'HK 12.2.2014'!B:H,7,0)</f>
        <v>-337071.6</v>
      </c>
      <c r="J91" s="223">
        <f t="shared" si="1"/>
        <v>281000</v>
      </c>
    </row>
    <row r="92" spans="1:10">
      <c r="A92" s="237">
        <v>3212000000</v>
      </c>
      <c r="B92" s="240">
        <v>-995</v>
      </c>
      <c r="C92" s="240">
        <v>831.12</v>
      </c>
      <c r="D92" s="240">
        <v>0</v>
      </c>
      <c r="E92" s="240">
        <v>3867.09</v>
      </c>
      <c r="F92" s="240">
        <v>2872.09</v>
      </c>
      <c r="G92" s="240">
        <v>0</v>
      </c>
      <c r="H92" s="237" t="s">
        <v>990</v>
      </c>
      <c r="I92" s="223">
        <f>VLOOKUP(A92,'HK 12.2.2014'!B:H,7,0)</f>
        <v>0</v>
      </c>
      <c r="J92" s="223">
        <f t="shared" si="1"/>
        <v>0</v>
      </c>
    </row>
    <row r="93" spans="1:10">
      <c r="A93" s="237">
        <v>3213000000</v>
      </c>
      <c r="B93" s="240">
        <v>-56000</v>
      </c>
      <c r="C93" s="240">
        <v>0</v>
      </c>
      <c r="D93" s="240">
        <v>0</v>
      </c>
      <c r="E93" s="240">
        <v>56000</v>
      </c>
      <c r="F93" s="240">
        <v>0</v>
      </c>
      <c r="G93" s="240">
        <v>0</v>
      </c>
      <c r="H93" s="237" t="s">
        <v>991</v>
      </c>
      <c r="I93" s="223">
        <f>VLOOKUP(A93,'HK 12.2.2014'!B:H,7,0)</f>
        <v>0</v>
      </c>
      <c r="J93" s="223">
        <f t="shared" si="1"/>
        <v>0</v>
      </c>
    </row>
    <row r="94" spans="1:10">
      <c r="A94" s="237">
        <v>3231000000</v>
      </c>
      <c r="B94" s="240">
        <v>-72236.84</v>
      </c>
      <c r="C94" s="240">
        <v>0</v>
      </c>
      <c r="D94" s="240">
        <v>17447.66</v>
      </c>
      <c r="E94" s="240">
        <v>12936.47</v>
      </c>
      <c r="F94" s="240">
        <v>17447.66</v>
      </c>
      <c r="G94" s="240">
        <v>-76748.03</v>
      </c>
      <c r="H94" s="237" t="s">
        <v>992</v>
      </c>
      <c r="I94" s="223">
        <f>VLOOKUP(A94,'HK 12.2.2014'!B:H,7,0)</f>
        <v>-76748.03</v>
      </c>
      <c r="J94" s="223">
        <f t="shared" si="1"/>
        <v>0</v>
      </c>
    </row>
    <row r="95" spans="1:10">
      <c r="A95" s="237">
        <v>3233000000</v>
      </c>
      <c r="B95" s="240">
        <v>-40668.5</v>
      </c>
      <c r="C95" s="240">
        <v>0</v>
      </c>
      <c r="D95" s="240">
        <v>14448.51</v>
      </c>
      <c r="E95" s="240">
        <v>10710.01</v>
      </c>
      <c r="F95" s="240">
        <v>-5020.49</v>
      </c>
      <c r="G95" s="240">
        <v>-24938</v>
      </c>
      <c r="H95" s="237" t="s">
        <v>993</v>
      </c>
      <c r="I95" s="223">
        <f>VLOOKUP(A95,'HK 12.2.2014'!B:H,7,0)</f>
        <v>-24938</v>
      </c>
      <c r="J95" s="223">
        <f t="shared" si="1"/>
        <v>0</v>
      </c>
    </row>
    <row r="96" spans="1:10">
      <c r="A96" s="237">
        <v>3243000000</v>
      </c>
      <c r="B96" s="240">
        <v>-28044.03</v>
      </c>
      <c r="C96" s="240">
        <v>4744.96</v>
      </c>
      <c r="D96" s="240">
        <v>0</v>
      </c>
      <c r="E96" s="240">
        <v>227181.77</v>
      </c>
      <c r="F96" s="240">
        <v>199137.74</v>
      </c>
      <c r="G96" s="240">
        <v>0</v>
      </c>
      <c r="H96" s="237" t="s">
        <v>994</v>
      </c>
      <c r="I96" s="223">
        <f>VLOOKUP(A96,'HK 12.2.2014'!B:H,7,0)</f>
        <v>0</v>
      </c>
      <c r="J96" s="223">
        <f t="shared" si="1"/>
        <v>0</v>
      </c>
    </row>
    <row r="97" spans="1:10">
      <c r="A97" s="237">
        <v>3261000000</v>
      </c>
      <c r="B97" s="240">
        <v>-10331.6</v>
      </c>
      <c r="C97" s="240">
        <v>216000</v>
      </c>
      <c r="D97" s="240">
        <v>-33886.769999999997</v>
      </c>
      <c r="E97" s="240">
        <v>265019.84000000003</v>
      </c>
      <c r="F97" s="240">
        <v>202782.27</v>
      </c>
      <c r="G97" s="242">
        <v>51905.97</v>
      </c>
      <c r="H97" s="237" t="s">
        <v>995</v>
      </c>
      <c r="I97" s="223">
        <f>VLOOKUP(A97,'HK 12.2.2014'!B:H,7,0)</f>
        <v>-163949.82999999999</v>
      </c>
      <c r="J97" s="223">
        <f t="shared" si="1"/>
        <v>-215855.8</v>
      </c>
    </row>
    <row r="98" spans="1:10">
      <c r="A98" s="237">
        <v>3262000000</v>
      </c>
      <c r="B98" s="240">
        <v>0</v>
      </c>
      <c r="C98" s="240">
        <v>663.88</v>
      </c>
      <c r="D98" s="240">
        <v>0</v>
      </c>
      <c r="E98" s="240">
        <v>663.88</v>
      </c>
      <c r="F98" s="240">
        <v>0</v>
      </c>
      <c r="G98" s="242">
        <v>663.88</v>
      </c>
      <c r="H98" s="237" t="s">
        <v>1206</v>
      </c>
      <c r="I98" s="223">
        <f>VLOOKUP(A98,'HK 12.2.2014'!B:H,7,0)</f>
        <v>796.66</v>
      </c>
      <c r="J98" s="223">
        <f t="shared" si="1"/>
        <v>132.77999999999997</v>
      </c>
    </row>
    <row r="99" spans="1:10">
      <c r="A99" s="237">
        <v>3311000000</v>
      </c>
      <c r="B99" s="240">
        <v>-198657.28</v>
      </c>
      <c r="C99" s="240">
        <v>259926</v>
      </c>
      <c r="D99" s="240">
        <v>248010.98</v>
      </c>
      <c r="E99" s="240">
        <v>2996276.48</v>
      </c>
      <c r="F99" s="240">
        <v>2988296.27</v>
      </c>
      <c r="G99" s="240">
        <v>-190677.07</v>
      </c>
      <c r="H99" s="237" t="s">
        <v>996</v>
      </c>
      <c r="I99" s="223">
        <f>VLOOKUP(A99,'HK 12.2.2014'!B:H,7,0)</f>
        <v>-190677.07</v>
      </c>
      <c r="J99" s="223">
        <f t="shared" si="1"/>
        <v>0</v>
      </c>
    </row>
    <row r="100" spans="1:10">
      <c r="A100" s="237">
        <v>3351000000</v>
      </c>
      <c r="B100" s="240">
        <v>0</v>
      </c>
      <c r="C100" s="240">
        <v>0</v>
      </c>
      <c r="D100" s="240">
        <v>0</v>
      </c>
      <c r="E100" s="240">
        <v>0</v>
      </c>
      <c r="F100" s="240">
        <v>0</v>
      </c>
      <c r="G100" s="240">
        <v>0</v>
      </c>
      <c r="H100" s="237" t="s">
        <v>997</v>
      </c>
      <c r="I100" s="223">
        <f>VLOOKUP(A100,'HK 12.2.2014'!B:H,7,0)</f>
        <v>0</v>
      </c>
      <c r="J100" s="223">
        <f t="shared" si="1"/>
        <v>0</v>
      </c>
    </row>
    <row r="101" spans="1:10">
      <c r="A101" s="237">
        <v>3354000000</v>
      </c>
      <c r="B101" s="240">
        <v>0</v>
      </c>
      <c r="C101" s="240">
        <v>1601.62</v>
      </c>
      <c r="D101" s="240">
        <v>1024.19</v>
      </c>
      <c r="E101" s="240">
        <v>15344.42</v>
      </c>
      <c r="F101" s="240">
        <v>15344.42</v>
      </c>
      <c r="G101" s="240">
        <v>0</v>
      </c>
      <c r="H101" s="237" t="s">
        <v>998</v>
      </c>
      <c r="I101" s="223">
        <f>VLOOKUP(A101,'HK 12.2.2014'!B:H,7,0)</f>
        <v>0</v>
      </c>
      <c r="J101" s="223">
        <f t="shared" si="1"/>
        <v>0</v>
      </c>
    </row>
    <row r="102" spans="1:10">
      <c r="A102" s="237">
        <v>3354100000</v>
      </c>
      <c r="B102" s="240">
        <v>0</v>
      </c>
      <c r="C102" s="240">
        <v>103.4</v>
      </c>
      <c r="D102" s="240">
        <v>0</v>
      </c>
      <c r="E102" s="240">
        <v>385.4</v>
      </c>
      <c r="F102" s="240">
        <v>385.4</v>
      </c>
      <c r="G102" s="240">
        <v>0</v>
      </c>
      <c r="H102" s="237" t="s">
        <v>999</v>
      </c>
      <c r="I102" s="223">
        <f>VLOOKUP(A102,'HK 12.2.2014'!B:H,7,0)</f>
        <v>0</v>
      </c>
      <c r="J102" s="223">
        <f t="shared" si="1"/>
        <v>0</v>
      </c>
    </row>
    <row r="103" spans="1:10">
      <c r="A103" s="237">
        <v>3357000000</v>
      </c>
      <c r="B103" s="240">
        <v>0</v>
      </c>
      <c r="C103" s="240">
        <v>20</v>
      </c>
      <c r="D103" s="240">
        <v>20</v>
      </c>
      <c r="E103" s="240">
        <v>6663</v>
      </c>
      <c r="F103" s="240">
        <v>6663</v>
      </c>
      <c r="G103" s="240">
        <v>0</v>
      </c>
      <c r="H103" s="237" t="s">
        <v>1000</v>
      </c>
      <c r="I103" s="223">
        <f>VLOOKUP(A103,'HK 12.2.2014'!B:H,7,0)</f>
        <v>0</v>
      </c>
      <c r="J103" s="223">
        <f t="shared" si="1"/>
        <v>0</v>
      </c>
    </row>
    <row r="104" spans="1:10">
      <c r="A104" s="237">
        <v>3358000000</v>
      </c>
      <c r="B104" s="240">
        <v>0</v>
      </c>
      <c r="C104" s="240">
        <v>300</v>
      </c>
      <c r="D104" s="240">
        <v>300</v>
      </c>
      <c r="E104" s="240">
        <v>7090</v>
      </c>
      <c r="F104" s="240">
        <v>7090</v>
      </c>
      <c r="G104" s="240">
        <v>0</v>
      </c>
      <c r="H104" s="237" t="s">
        <v>1001</v>
      </c>
      <c r="I104" s="223">
        <f>VLOOKUP(A104,'HK 12.2.2014'!B:H,7,0)</f>
        <v>0</v>
      </c>
      <c r="J104" s="223">
        <f t="shared" si="1"/>
        <v>0</v>
      </c>
    </row>
    <row r="105" spans="1:10">
      <c r="A105" s="237">
        <v>3359000000</v>
      </c>
      <c r="B105" s="240">
        <v>0</v>
      </c>
      <c r="C105" s="240">
        <v>0</v>
      </c>
      <c r="D105" s="240">
        <v>0</v>
      </c>
      <c r="E105" s="240">
        <v>9242.77</v>
      </c>
      <c r="F105" s="240">
        <v>9242.77</v>
      </c>
      <c r="G105" s="240">
        <v>0</v>
      </c>
      <c r="H105" s="237" t="s">
        <v>1002</v>
      </c>
      <c r="I105" s="223">
        <f>VLOOKUP(A105,'HK 12.2.2014'!B:H,7,0)</f>
        <v>0</v>
      </c>
      <c r="J105" s="223">
        <f t="shared" si="1"/>
        <v>0</v>
      </c>
    </row>
    <row r="106" spans="1:10">
      <c r="A106" s="237">
        <v>3361000000</v>
      </c>
      <c r="B106" s="240">
        <v>-31800</v>
      </c>
      <c r="C106" s="240">
        <v>36187.339999999997</v>
      </c>
      <c r="D106" s="240">
        <v>33026.660000000003</v>
      </c>
      <c r="E106" s="240">
        <v>395754.7</v>
      </c>
      <c r="F106" s="240">
        <v>396771.61</v>
      </c>
      <c r="G106" s="240">
        <v>-32816.910000000003</v>
      </c>
      <c r="H106" s="237" t="s">
        <v>1003</v>
      </c>
      <c r="I106" s="223">
        <f>VLOOKUP(A106,'HK 12.2.2014'!B:H,7,0)</f>
        <v>-32816.910000000003</v>
      </c>
      <c r="J106" s="223">
        <f t="shared" si="1"/>
        <v>0</v>
      </c>
    </row>
    <row r="107" spans="1:10">
      <c r="A107" s="237">
        <v>3366000000</v>
      </c>
      <c r="B107" s="240">
        <v>-80046.23</v>
      </c>
      <c r="C107" s="240">
        <v>90729.65</v>
      </c>
      <c r="D107" s="240">
        <v>83398</v>
      </c>
      <c r="E107" s="240">
        <v>986827.52</v>
      </c>
      <c r="F107" s="240">
        <v>989690.11</v>
      </c>
      <c r="G107" s="240">
        <v>-82908.820000000007</v>
      </c>
      <c r="H107" s="237" t="s">
        <v>1004</v>
      </c>
      <c r="I107" s="223">
        <f>VLOOKUP(A107,'HK 12.2.2014'!B:H,7,0)</f>
        <v>-82908.820000000007</v>
      </c>
      <c r="J107" s="223">
        <f t="shared" si="1"/>
        <v>0</v>
      </c>
    </row>
    <row r="108" spans="1:10">
      <c r="A108" s="241">
        <v>3411000000</v>
      </c>
      <c r="B108" s="242">
        <v>0</v>
      </c>
      <c r="C108" s="242">
        <v>0</v>
      </c>
      <c r="D108" s="242">
        <v>27121.9</v>
      </c>
      <c r="E108" s="242">
        <v>0</v>
      </c>
      <c r="F108" s="242">
        <v>27121.9</v>
      </c>
      <c r="G108" s="242">
        <v>-27121.9</v>
      </c>
      <c r="H108" s="241" t="s">
        <v>1221</v>
      </c>
      <c r="I108" s="243">
        <v>0</v>
      </c>
      <c r="J108" s="223">
        <f t="shared" si="1"/>
        <v>27121.9</v>
      </c>
    </row>
    <row r="109" spans="1:10">
      <c r="A109" s="237">
        <v>3412000000</v>
      </c>
      <c r="B109" s="240">
        <v>6617.42</v>
      </c>
      <c r="C109" s="240">
        <v>0</v>
      </c>
      <c r="D109" s="240">
        <v>0</v>
      </c>
      <c r="E109" s="240">
        <v>0</v>
      </c>
      <c r="F109" s="240">
        <v>6617.42</v>
      </c>
      <c r="G109" s="240">
        <v>0</v>
      </c>
      <c r="H109" s="237" t="s">
        <v>1005</v>
      </c>
      <c r="I109" s="223">
        <f>VLOOKUP(A109,'HK 12.2.2014'!B:H,7,0)</f>
        <v>0</v>
      </c>
      <c r="J109" s="223">
        <f t="shared" si="1"/>
        <v>0</v>
      </c>
    </row>
    <row r="110" spans="1:10">
      <c r="A110" s="237">
        <v>3421000000</v>
      </c>
      <c r="B110" s="240">
        <v>-25895.31</v>
      </c>
      <c r="C110" s="240">
        <v>27392.42</v>
      </c>
      <c r="D110" s="240">
        <v>24406.19</v>
      </c>
      <c r="E110" s="240">
        <v>286026.59999999998</v>
      </c>
      <c r="F110" s="240">
        <v>284537.48</v>
      </c>
      <c r="G110" s="240">
        <v>-24406.19</v>
      </c>
      <c r="H110" s="237" t="s">
        <v>1006</v>
      </c>
      <c r="I110" s="223">
        <f>VLOOKUP(A110,'HK 12.2.2014'!B:H,7,0)</f>
        <v>-24406.19</v>
      </c>
      <c r="J110" s="223">
        <f t="shared" si="1"/>
        <v>0</v>
      </c>
    </row>
    <row r="111" spans="1:10">
      <c r="A111" s="237">
        <v>3423000000</v>
      </c>
      <c r="B111" s="240">
        <v>0</v>
      </c>
      <c r="C111" s="240">
        <v>0</v>
      </c>
      <c r="D111" s="240">
        <v>0</v>
      </c>
      <c r="E111" s="240">
        <v>0</v>
      </c>
      <c r="F111" s="240">
        <v>0</v>
      </c>
      <c r="G111" s="240">
        <v>0</v>
      </c>
      <c r="H111" s="237" t="s">
        <v>1007</v>
      </c>
      <c r="I111" s="223">
        <f>VLOOKUP(A111,'HK 12.2.2014'!B:H,7,0)</f>
        <v>0</v>
      </c>
      <c r="J111" s="223">
        <f t="shared" si="1"/>
        <v>0</v>
      </c>
    </row>
    <row r="112" spans="1:10">
      <c r="A112" s="237">
        <v>3431000000</v>
      </c>
      <c r="B112" s="240">
        <v>0</v>
      </c>
      <c r="C112" s="240">
        <v>21854.42</v>
      </c>
      <c r="D112" s="240">
        <v>0</v>
      </c>
      <c r="E112" s="240">
        <v>195137.1</v>
      </c>
      <c r="F112" s="240">
        <v>0</v>
      </c>
      <c r="G112" s="240">
        <v>195137.1</v>
      </c>
      <c r="H112" s="237" t="s">
        <v>1008</v>
      </c>
      <c r="I112" s="223">
        <f>VLOOKUP(A112,'HK 12.2.2014'!B:H,7,0)</f>
        <v>195137.1</v>
      </c>
      <c r="J112" s="223">
        <f t="shared" si="1"/>
        <v>0</v>
      </c>
    </row>
    <row r="113" spans="1:10">
      <c r="A113" s="237">
        <v>3431300000</v>
      </c>
      <c r="B113" s="240">
        <v>0</v>
      </c>
      <c r="C113" s="240">
        <v>2464.7199999999998</v>
      </c>
      <c r="D113" s="240">
        <v>0</v>
      </c>
      <c r="E113" s="240">
        <v>42081.33</v>
      </c>
      <c r="F113" s="240">
        <v>0</v>
      </c>
      <c r="G113" s="240">
        <v>42081.33</v>
      </c>
      <c r="H113" s="237" t="s">
        <v>1009</v>
      </c>
      <c r="I113" s="223">
        <f>VLOOKUP(A113,'HK 12.2.2014'!B:H,7,0)</f>
        <v>42081.33</v>
      </c>
      <c r="J113" s="223">
        <f t="shared" si="1"/>
        <v>0</v>
      </c>
    </row>
    <row r="114" spans="1:10">
      <c r="A114" s="237">
        <v>3431800000</v>
      </c>
      <c r="B114" s="240">
        <v>0</v>
      </c>
      <c r="C114" s="240">
        <v>20324.61</v>
      </c>
      <c r="D114" s="240">
        <v>0</v>
      </c>
      <c r="E114" s="240">
        <v>176780.68</v>
      </c>
      <c r="F114" s="240">
        <v>0</v>
      </c>
      <c r="G114" s="240">
        <v>176780.68</v>
      </c>
      <c r="H114" s="237" t="s">
        <v>1010</v>
      </c>
      <c r="I114" s="223">
        <f>VLOOKUP(A114,'HK 12.2.2014'!B:H,7,0)</f>
        <v>176780.68</v>
      </c>
      <c r="J114" s="223">
        <f t="shared" si="1"/>
        <v>0</v>
      </c>
    </row>
    <row r="115" spans="1:10">
      <c r="A115" s="237">
        <v>3431900000</v>
      </c>
      <c r="B115" s="240">
        <v>0</v>
      </c>
      <c r="C115" s="240">
        <v>0</v>
      </c>
      <c r="D115" s="240">
        <v>20324.61</v>
      </c>
      <c r="E115" s="240">
        <v>0</v>
      </c>
      <c r="F115" s="240">
        <v>176780.68</v>
      </c>
      <c r="G115" s="240">
        <v>-176780.68</v>
      </c>
      <c r="H115" s="237" t="s">
        <v>1011</v>
      </c>
      <c r="I115" s="223">
        <f>VLOOKUP(A115,'HK 12.2.2014'!B:H,7,0)</f>
        <v>-176780.68</v>
      </c>
      <c r="J115" s="223">
        <f t="shared" si="1"/>
        <v>0</v>
      </c>
    </row>
    <row r="116" spans="1:10">
      <c r="A116" s="237">
        <v>3432000000</v>
      </c>
      <c r="B116" s="240">
        <v>0</v>
      </c>
      <c r="C116" s="240">
        <v>0</v>
      </c>
      <c r="D116" s="240">
        <v>2464.7199999999998</v>
      </c>
      <c r="E116" s="240">
        <v>0</v>
      </c>
      <c r="F116" s="240">
        <v>42081.33</v>
      </c>
      <c r="G116" s="240">
        <v>-42081.33</v>
      </c>
      <c r="H116" s="237" t="s">
        <v>1012</v>
      </c>
      <c r="I116" s="223">
        <f>VLOOKUP(A116,'HK 12.2.2014'!B:H,7,0)</f>
        <v>-42081.33</v>
      </c>
      <c r="J116" s="223">
        <f t="shared" si="1"/>
        <v>0</v>
      </c>
    </row>
    <row r="117" spans="1:10">
      <c r="A117" s="237">
        <v>3432200000</v>
      </c>
      <c r="B117" s="240">
        <v>0</v>
      </c>
      <c r="C117" s="240">
        <v>1900.86</v>
      </c>
      <c r="D117" s="240">
        <v>0</v>
      </c>
      <c r="E117" s="240">
        <v>1900.86</v>
      </c>
      <c r="F117" s="240">
        <v>0</v>
      </c>
      <c r="G117" s="240">
        <v>1900.86</v>
      </c>
      <c r="H117" s="237" t="s">
        <v>1207</v>
      </c>
      <c r="I117" s="223">
        <f>VLOOKUP(A117,'HK 12.2.2014'!B:H,7,0)</f>
        <v>1900.86</v>
      </c>
      <c r="J117" s="223">
        <f t="shared" si="1"/>
        <v>0</v>
      </c>
    </row>
    <row r="118" spans="1:10">
      <c r="A118" s="237">
        <v>3432230000</v>
      </c>
      <c r="B118" s="240">
        <v>0</v>
      </c>
      <c r="C118" s="240">
        <v>0</v>
      </c>
      <c r="D118" s="240">
        <v>1900.86</v>
      </c>
      <c r="E118" s="240">
        <v>0</v>
      </c>
      <c r="F118" s="240">
        <v>1900.86</v>
      </c>
      <c r="G118" s="240">
        <v>-1900.86</v>
      </c>
      <c r="H118" s="237" t="s">
        <v>1208</v>
      </c>
      <c r="I118" s="223">
        <f>VLOOKUP(A118,'HK 12.2.2014'!B:H,7,0)</f>
        <v>-1900.86</v>
      </c>
      <c r="J118" s="223">
        <f t="shared" si="1"/>
        <v>0</v>
      </c>
    </row>
    <row r="119" spans="1:10">
      <c r="A119" s="237">
        <v>3432400000</v>
      </c>
      <c r="B119" s="240">
        <v>0</v>
      </c>
      <c r="C119" s="240">
        <v>0</v>
      </c>
      <c r="D119" s="240">
        <v>2835.77</v>
      </c>
      <c r="E119" s="240">
        <v>0</v>
      </c>
      <c r="F119" s="240">
        <v>27862.63</v>
      </c>
      <c r="G119" s="240">
        <v>-27862.63</v>
      </c>
      <c r="H119" s="237" t="s">
        <v>1013</v>
      </c>
      <c r="I119" s="223">
        <f>VLOOKUP(A119,'HK 12.2.2014'!B:H,7,0)</f>
        <v>-27862.63</v>
      </c>
      <c r="J119" s="223">
        <f t="shared" si="1"/>
        <v>0</v>
      </c>
    </row>
    <row r="120" spans="1:10">
      <c r="A120" s="237">
        <v>3432500000</v>
      </c>
      <c r="B120" s="240">
        <v>0</v>
      </c>
      <c r="C120" s="240">
        <v>318.47000000000003</v>
      </c>
      <c r="D120" s="240">
        <v>0</v>
      </c>
      <c r="E120" s="240">
        <v>28027.66</v>
      </c>
      <c r="F120" s="240">
        <v>0</v>
      </c>
      <c r="G120" s="240">
        <v>28027.66</v>
      </c>
      <c r="H120" s="237" t="s">
        <v>1014</v>
      </c>
      <c r="I120" s="223">
        <f>VLOOKUP(A120,'HK 12.2.2014'!B:H,7,0)</f>
        <v>28027.66</v>
      </c>
      <c r="J120" s="223">
        <f t="shared" si="1"/>
        <v>0</v>
      </c>
    </row>
    <row r="121" spans="1:10">
      <c r="A121" s="237">
        <v>3432600000</v>
      </c>
      <c r="B121" s="240">
        <v>0</v>
      </c>
      <c r="C121" s="240">
        <v>0</v>
      </c>
      <c r="D121" s="240">
        <v>0</v>
      </c>
      <c r="E121" s="240">
        <v>2236.86</v>
      </c>
      <c r="F121" s="240">
        <v>0</v>
      </c>
      <c r="G121" s="240">
        <v>2236.86</v>
      </c>
      <c r="H121" s="237" t="s">
        <v>1015</v>
      </c>
      <c r="I121" s="223">
        <f>VLOOKUP(A121,'HK 12.2.2014'!B:H,7,0)</f>
        <v>2236.86</v>
      </c>
      <c r="J121" s="223">
        <f t="shared" si="1"/>
        <v>0</v>
      </c>
    </row>
    <row r="122" spans="1:10">
      <c r="A122" s="237">
        <v>3432700000</v>
      </c>
      <c r="B122" s="240">
        <v>0</v>
      </c>
      <c r="C122" s="240">
        <v>0</v>
      </c>
      <c r="D122" s="240">
        <v>0</v>
      </c>
      <c r="E122" s="240">
        <v>0</v>
      </c>
      <c r="F122" s="240">
        <v>2236.86</v>
      </c>
      <c r="G122" s="240">
        <v>-2236.86</v>
      </c>
      <c r="H122" s="237" t="s">
        <v>1016</v>
      </c>
      <c r="I122" s="223">
        <f>VLOOKUP(A122,'HK 12.2.2014'!B:H,7,0)</f>
        <v>-2236.86</v>
      </c>
      <c r="J122" s="223">
        <f t="shared" si="1"/>
        <v>0</v>
      </c>
    </row>
    <row r="123" spans="1:10">
      <c r="A123" s="237">
        <v>3436000000</v>
      </c>
      <c r="B123" s="240">
        <v>-3000.8</v>
      </c>
      <c r="C123" s="240">
        <v>0</v>
      </c>
      <c r="D123" s="240">
        <v>0</v>
      </c>
      <c r="E123" s="240">
        <v>0</v>
      </c>
      <c r="F123" s="240">
        <v>0</v>
      </c>
      <c r="G123" s="240">
        <v>-3000.8</v>
      </c>
      <c r="H123" s="237" t="s">
        <v>1017</v>
      </c>
      <c r="I123" s="223">
        <f>VLOOKUP(A123,'HK 12.2.2014'!B:H,7,0)</f>
        <v>-3000.8</v>
      </c>
      <c r="J123" s="223">
        <f t="shared" si="1"/>
        <v>0</v>
      </c>
    </row>
    <row r="124" spans="1:10">
      <c r="A124" s="237">
        <v>3437000000</v>
      </c>
      <c r="B124" s="240">
        <v>0</v>
      </c>
      <c r="C124" s="240">
        <v>24690.19</v>
      </c>
      <c r="D124" s="240">
        <v>24690.19</v>
      </c>
      <c r="E124" s="240">
        <v>222999.73</v>
      </c>
      <c r="F124" s="240">
        <v>222999.73</v>
      </c>
      <c r="G124" s="240">
        <v>0</v>
      </c>
      <c r="H124" s="237" t="s">
        <v>1018</v>
      </c>
      <c r="I124" s="223">
        <f>VLOOKUP(A124,'HK 12.2.2014'!B:H,7,0)</f>
        <v>0</v>
      </c>
      <c r="J124" s="223">
        <f t="shared" si="1"/>
        <v>0</v>
      </c>
    </row>
    <row r="125" spans="1:10">
      <c r="A125" s="237">
        <v>3438000000</v>
      </c>
      <c r="B125" s="240">
        <v>0</v>
      </c>
      <c r="C125" s="240">
        <v>0</v>
      </c>
      <c r="D125" s="240">
        <v>21854.42</v>
      </c>
      <c r="E125" s="240">
        <v>0</v>
      </c>
      <c r="F125" s="240">
        <v>195137.1</v>
      </c>
      <c r="G125" s="240">
        <v>-195137.1</v>
      </c>
      <c r="H125" s="237" t="s">
        <v>1019</v>
      </c>
      <c r="I125" s="223">
        <f>VLOOKUP(A125,'HK 12.2.2014'!B:H,7,0)</f>
        <v>-195137.1</v>
      </c>
      <c r="J125" s="223">
        <f t="shared" si="1"/>
        <v>0</v>
      </c>
    </row>
    <row r="126" spans="1:10">
      <c r="A126" s="237">
        <v>3451000000</v>
      </c>
      <c r="B126" s="240">
        <v>-150</v>
      </c>
      <c r="C126" s="240">
        <v>0</v>
      </c>
      <c r="D126" s="240">
        <v>80.540000000000006</v>
      </c>
      <c r="E126" s="240">
        <v>150</v>
      </c>
      <c r="F126" s="240">
        <v>80.540000000000006</v>
      </c>
      <c r="G126" s="240">
        <v>-80.540000000000006</v>
      </c>
      <c r="H126" s="237" t="s">
        <v>1209</v>
      </c>
      <c r="I126" s="223">
        <f>VLOOKUP(A126,'HK 12.2.2014'!B:H,7,0)</f>
        <v>-80.540000000000006</v>
      </c>
      <c r="J126" s="223">
        <f t="shared" si="1"/>
        <v>0</v>
      </c>
    </row>
    <row r="127" spans="1:10">
      <c r="A127" s="237">
        <v>3781000000</v>
      </c>
      <c r="B127" s="240">
        <v>0</v>
      </c>
      <c r="C127" s="240">
        <v>397777.38</v>
      </c>
      <c r="D127" s="240">
        <v>541343.18000000005</v>
      </c>
      <c r="E127" s="240">
        <v>3766837.97</v>
      </c>
      <c r="F127" s="240">
        <v>4368432.0599999996</v>
      </c>
      <c r="G127" s="240">
        <v>-601594.09</v>
      </c>
      <c r="H127" s="237" t="s">
        <v>1020</v>
      </c>
      <c r="I127" s="223">
        <f>VLOOKUP(A127,'HK 12.2.2014'!B:H,7,0)</f>
        <v>-601594.09</v>
      </c>
      <c r="J127" s="223">
        <f t="shared" si="1"/>
        <v>0</v>
      </c>
    </row>
    <row r="128" spans="1:10">
      <c r="A128" s="237">
        <v>3782000000</v>
      </c>
      <c r="B128" s="240">
        <v>0</v>
      </c>
      <c r="C128" s="240">
        <v>2000</v>
      </c>
      <c r="D128" s="240">
        <v>0</v>
      </c>
      <c r="E128" s="240">
        <v>2000</v>
      </c>
      <c r="F128" s="240">
        <v>0</v>
      </c>
      <c r="G128" s="240">
        <v>2000</v>
      </c>
      <c r="H128" s="237" t="s">
        <v>1021</v>
      </c>
      <c r="I128" s="223">
        <f>VLOOKUP(A128,'HK 12.2.2014'!B:H,7,0)</f>
        <v>2000</v>
      </c>
      <c r="J128" s="223">
        <f t="shared" si="1"/>
        <v>0</v>
      </c>
    </row>
    <row r="129" spans="1:10">
      <c r="A129" s="237">
        <v>3783000000</v>
      </c>
      <c r="B129" s="240">
        <v>0</v>
      </c>
      <c r="C129" s="240">
        <v>7690</v>
      </c>
      <c r="D129" s="240">
        <v>0</v>
      </c>
      <c r="E129" s="240">
        <v>13891</v>
      </c>
      <c r="F129" s="240">
        <v>6201</v>
      </c>
      <c r="G129" s="240">
        <v>7690</v>
      </c>
      <c r="H129" s="237" t="s">
        <v>1210</v>
      </c>
      <c r="I129" s="223">
        <f>VLOOKUP(A129,'HK 12.2.2014'!B:H,7,0)</f>
        <v>7690</v>
      </c>
      <c r="J129" s="223">
        <f t="shared" si="1"/>
        <v>0</v>
      </c>
    </row>
    <row r="130" spans="1:10">
      <c r="A130" s="237">
        <v>3791000000</v>
      </c>
      <c r="B130" s="240">
        <v>-1315.73</v>
      </c>
      <c r="C130" s="240">
        <v>640.35</v>
      </c>
      <c r="D130" s="240">
        <v>1358.75</v>
      </c>
      <c r="E130" s="240">
        <v>9238.3700000000008</v>
      </c>
      <c r="F130" s="240">
        <v>9281.39</v>
      </c>
      <c r="G130" s="240">
        <v>-1358.75</v>
      </c>
      <c r="H130" s="237" t="s">
        <v>1211</v>
      </c>
      <c r="I130" s="223">
        <f>VLOOKUP(A130,'HK 12.2.2014'!B:H,7,0)</f>
        <v>-1358.75</v>
      </c>
      <c r="J130" s="223">
        <f t="shared" si="1"/>
        <v>0</v>
      </c>
    </row>
    <row r="131" spans="1:10">
      <c r="A131" s="237">
        <v>3792000000</v>
      </c>
      <c r="B131" s="240">
        <v>-306942.90999999997</v>
      </c>
      <c r="C131" s="240">
        <v>0</v>
      </c>
      <c r="D131" s="240">
        <v>0</v>
      </c>
      <c r="E131" s="240">
        <v>0</v>
      </c>
      <c r="F131" s="240">
        <v>0</v>
      </c>
      <c r="G131" s="240">
        <v>-306942.90999999997</v>
      </c>
      <c r="H131" s="237" t="s">
        <v>1022</v>
      </c>
      <c r="I131" s="223">
        <f>VLOOKUP(A131,'HK 12.2.2014'!B:H,7,0)</f>
        <v>-306942.90999999997</v>
      </c>
      <c r="J131" s="223">
        <f t="shared" ref="J131:J194" si="2">+I131-G131</f>
        <v>0</v>
      </c>
    </row>
    <row r="132" spans="1:10">
      <c r="A132" s="237">
        <v>3794000000</v>
      </c>
      <c r="B132" s="240">
        <v>0</v>
      </c>
      <c r="C132" s="240">
        <v>318.47000000000003</v>
      </c>
      <c r="D132" s="240">
        <v>318.47000000000003</v>
      </c>
      <c r="E132" s="240">
        <v>30264.52</v>
      </c>
      <c r="F132" s="240">
        <v>30264.52</v>
      </c>
      <c r="G132" s="240">
        <v>0</v>
      </c>
      <c r="H132" s="237" t="s">
        <v>1023</v>
      </c>
      <c r="I132" s="223">
        <f>VLOOKUP(A132,'HK 12.2.2014'!B:H,7,0)</f>
        <v>0</v>
      </c>
      <c r="J132" s="223">
        <f t="shared" si="2"/>
        <v>0</v>
      </c>
    </row>
    <row r="133" spans="1:10">
      <c r="A133" s="237">
        <v>3811000000</v>
      </c>
      <c r="B133" s="240">
        <v>4669.2299999999996</v>
      </c>
      <c r="C133" s="240">
        <v>315.48</v>
      </c>
      <c r="D133" s="240">
        <v>0</v>
      </c>
      <c r="E133" s="240">
        <v>2624.63</v>
      </c>
      <c r="F133" s="240">
        <v>4669.2299999999996</v>
      </c>
      <c r="G133" s="240">
        <v>2624.63</v>
      </c>
      <c r="H133" s="237" t="s">
        <v>1024</v>
      </c>
      <c r="I133" s="223">
        <f>VLOOKUP(A133,'HK 12.2.2014'!B:H,7,0)</f>
        <v>2624.63</v>
      </c>
      <c r="J133" s="223">
        <f t="shared" si="2"/>
        <v>0</v>
      </c>
    </row>
    <row r="134" spans="1:10">
      <c r="A134" s="237">
        <v>3831000000</v>
      </c>
      <c r="B134" s="240">
        <v>0</v>
      </c>
      <c r="C134" s="240">
        <v>-1448.06</v>
      </c>
      <c r="D134" s="240">
        <v>763.95</v>
      </c>
      <c r="E134" s="240">
        <v>-1448.06</v>
      </c>
      <c r="F134" s="240">
        <v>763.95</v>
      </c>
      <c r="G134" s="240">
        <v>-2212.0100000000002</v>
      </c>
      <c r="H134" s="237" t="s">
        <v>1222</v>
      </c>
      <c r="I134" s="223">
        <f>VLOOKUP(A134,'HK 12.2.2014'!B:H,7,0)</f>
        <v>-763.95</v>
      </c>
      <c r="J134" s="223">
        <f t="shared" si="2"/>
        <v>1448.0600000000002</v>
      </c>
    </row>
    <row r="135" spans="1:10">
      <c r="A135" s="237">
        <v>3841000000</v>
      </c>
      <c r="B135" s="240">
        <v>-2999.84</v>
      </c>
      <c r="C135" s="240">
        <v>666.06</v>
      </c>
      <c r="D135" s="240">
        <v>21813.759999999998</v>
      </c>
      <c r="E135" s="240">
        <v>2943.03</v>
      </c>
      <c r="F135" s="240">
        <v>28053.759999999998</v>
      </c>
      <c r="G135" s="240">
        <v>-28110.57</v>
      </c>
      <c r="H135" s="237" t="s">
        <v>1026</v>
      </c>
      <c r="I135" s="223">
        <f>VLOOKUP(A135,'HK 12.2.2014'!B:H,7,0)</f>
        <v>-28110.57</v>
      </c>
      <c r="J135" s="223">
        <f t="shared" si="2"/>
        <v>0</v>
      </c>
    </row>
    <row r="136" spans="1:10">
      <c r="A136" s="237">
        <v>3842000000</v>
      </c>
      <c r="B136" s="240">
        <v>-422.76</v>
      </c>
      <c r="C136" s="240">
        <v>422.76</v>
      </c>
      <c r="D136" s="240">
        <v>0</v>
      </c>
      <c r="E136" s="240">
        <v>422.76</v>
      </c>
      <c r="F136" s="240">
        <v>0</v>
      </c>
      <c r="G136" s="240">
        <v>0</v>
      </c>
      <c r="H136" s="237" t="s">
        <v>1027</v>
      </c>
      <c r="I136" s="223">
        <f>VLOOKUP(A136,'HK 12.2.2014'!B:H,7,0)</f>
        <v>0</v>
      </c>
      <c r="J136" s="223">
        <f t="shared" si="2"/>
        <v>0</v>
      </c>
    </row>
    <row r="137" spans="1:10">
      <c r="A137" s="237">
        <v>3844000000</v>
      </c>
      <c r="B137" s="240">
        <v>0</v>
      </c>
      <c r="C137" s="240">
        <v>412.86</v>
      </c>
      <c r="D137" s="240">
        <v>1233.76</v>
      </c>
      <c r="E137" s="240">
        <v>4927.8100000000004</v>
      </c>
      <c r="F137" s="240">
        <v>4927.8100000000004</v>
      </c>
      <c r="G137" s="240">
        <v>0</v>
      </c>
      <c r="H137" s="237" t="s">
        <v>1028</v>
      </c>
      <c r="I137" s="223">
        <f>VLOOKUP(A137,'HK 12.2.2014'!B:H,7,0)</f>
        <v>0</v>
      </c>
      <c r="J137" s="223">
        <f t="shared" si="2"/>
        <v>0</v>
      </c>
    </row>
    <row r="138" spans="1:10">
      <c r="A138" s="237">
        <v>3845000000</v>
      </c>
      <c r="B138" s="240">
        <v>-36419.769999999997</v>
      </c>
      <c r="C138" s="240">
        <v>552.12</v>
      </c>
      <c r="D138" s="240">
        <v>1200</v>
      </c>
      <c r="E138" s="240">
        <v>6441.85</v>
      </c>
      <c r="F138" s="240">
        <v>1200</v>
      </c>
      <c r="G138" s="240">
        <v>-31177.919999999998</v>
      </c>
      <c r="H138" s="237" t="s">
        <v>1029</v>
      </c>
      <c r="I138" s="223">
        <f>VLOOKUP(A138,'HK 12.2.2014'!B:H,7,0)</f>
        <v>-31177.919999999998</v>
      </c>
      <c r="J138" s="223">
        <f t="shared" si="2"/>
        <v>0</v>
      </c>
    </row>
    <row r="139" spans="1:10">
      <c r="A139" s="237">
        <v>3911200000</v>
      </c>
      <c r="B139" s="240">
        <v>-5685.26</v>
      </c>
      <c r="C139" s="240">
        <v>3344.26</v>
      </c>
      <c r="D139" s="240">
        <v>0</v>
      </c>
      <c r="E139" s="240">
        <v>3344.26</v>
      </c>
      <c r="F139" s="240">
        <v>0</v>
      </c>
      <c r="G139" s="240">
        <v>-2341</v>
      </c>
      <c r="H139" s="237" t="s">
        <v>1030</v>
      </c>
      <c r="I139" s="223">
        <f>VLOOKUP(A139,'HK 12.2.2014'!B:H,7,0)</f>
        <v>-2341</v>
      </c>
      <c r="J139" s="223">
        <f t="shared" si="2"/>
        <v>0</v>
      </c>
    </row>
    <row r="140" spans="1:10">
      <c r="A140" s="237">
        <v>3951000000</v>
      </c>
      <c r="B140" s="240">
        <v>0</v>
      </c>
      <c r="C140" s="240">
        <v>47.44</v>
      </c>
      <c r="D140" s="240">
        <v>47.44</v>
      </c>
      <c r="E140" s="240">
        <v>-120094.71</v>
      </c>
      <c r="F140" s="240">
        <v>-120094.71</v>
      </c>
      <c r="G140" s="240">
        <v>0</v>
      </c>
      <c r="H140" s="237" t="s">
        <v>1031</v>
      </c>
      <c r="I140" s="223">
        <f>VLOOKUP(A140,'HK 12.2.2014'!B:H,7,0)</f>
        <v>0</v>
      </c>
      <c r="J140" s="223">
        <f t="shared" si="2"/>
        <v>0</v>
      </c>
    </row>
    <row r="141" spans="1:10">
      <c r="A141" s="237">
        <v>4111000000</v>
      </c>
      <c r="B141" s="240">
        <v>-663.87</v>
      </c>
      <c r="C141" s="240">
        <v>0</v>
      </c>
      <c r="D141" s="240">
        <v>0</v>
      </c>
      <c r="E141" s="240">
        <v>0</v>
      </c>
      <c r="F141" s="240">
        <v>0</v>
      </c>
      <c r="G141" s="240">
        <v>-663.87</v>
      </c>
      <c r="H141" s="237" t="s">
        <v>492</v>
      </c>
      <c r="I141" s="223">
        <f>VLOOKUP(A141,'HK 12.2.2014'!B:H,7,0)</f>
        <v>-663.87</v>
      </c>
      <c r="J141" s="223">
        <f t="shared" si="2"/>
        <v>0</v>
      </c>
    </row>
    <row r="142" spans="1:10">
      <c r="A142" s="237">
        <v>4271000000</v>
      </c>
      <c r="B142" s="240">
        <v>-17624.310000000001</v>
      </c>
      <c r="C142" s="240">
        <v>0</v>
      </c>
      <c r="D142" s="240">
        <v>0</v>
      </c>
      <c r="E142" s="240">
        <v>0</v>
      </c>
      <c r="F142" s="240">
        <v>0</v>
      </c>
      <c r="G142" s="240">
        <v>-17624.310000000001</v>
      </c>
      <c r="H142" s="237" t="s">
        <v>1032</v>
      </c>
      <c r="I142" s="223">
        <f>VLOOKUP(A142,'HK 12.2.2014'!B:H,7,0)</f>
        <v>-17624.310000000001</v>
      </c>
      <c r="J142" s="223">
        <f t="shared" si="2"/>
        <v>0</v>
      </c>
    </row>
    <row r="143" spans="1:10">
      <c r="A143" s="237">
        <v>4271190000</v>
      </c>
      <c r="B143" s="240">
        <v>0</v>
      </c>
      <c r="C143" s="240">
        <v>0</v>
      </c>
      <c r="D143" s="240">
        <v>6690</v>
      </c>
      <c r="E143" s="240">
        <v>0</v>
      </c>
      <c r="F143" s="240">
        <v>12891</v>
      </c>
      <c r="G143" s="240">
        <v>-12891</v>
      </c>
      <c r="H143" s="237" t="s">
        <v>1212</v>
      </c>
      <c r="I143" s="223">
        <f>VLOOKUP(A143,'HK 12.2.2014'!B:H,7,0)</f>
        <v>-12891</v>
      </c>
      <c r="J143" s="223">
        <f t="shared" si="2"/>
        <v>0</v>
      </c>
    </row>
    <row r="144" spans="1:10">
      <c r="A144" s="237">
        <v>4272190000</v>
      </c>
      <c r="B144" s="240">
        <v>0</v>
      </c>
      <c r="C144" s="240">
        <v>6690</v>
      </c>
      <c r="D144" s="240">
        <v>0</v>
      </c>
      <c r="E144" s="240">
        <v>12891</v>
      </c>
      <c r="F144" s="240">
        <v>0</v>
      </c>
      <c r="G144" s="240">
        <v>12891</v>
      </c>
      <c r="H144" s="237" t="s">
        <v>1212</v>
      </c>
      <c r="I144" s="223">
        <f>VLOOKUP(A144,'HK 12.2.2014'!B:H,7,0)</f>
        <v>12891</v>
      </c>
      <c r="J144" s="223">
        <f t="shared" si="2"/>
        <v>0</v>
      </c>
    </row>
    <row r="145" spans="1:10">
      <c r="A145" s="237">
        <v>4281000000</v>
      </c>
      <c r="B145" s="240">
        <v>404614.66</v>
      </c>
      <c r="C145" s="240">
        <v>180120.2</v>
      </c>
      <c r="D145" s="240">
        <v>0</v>
      </c>
      <c r="E145" s="240">
        <v>192504.9</v>
      </c>
      <c r="F145" s="240">
        <v>0</v>
      </c>
      <c r="G145" s="240">
        <v>597119.56000000006</v>
      </c>
      <c r="H145" s="237" t="s">
        <v>1033</v>
      </c>
      <c r="I145" s="223">
        <f>VLOOKUP(A145,'HK 12.2.2014'!B:H,7,0)</f>
        <v>597119.56000000006</v>
      </c>
      <c r="J145" s="223">
        <f t="shared" si="2"/>
        <v>0</v>
      </c>
    </row>
    <row r="146" spans="1:10">
      <c r="A146" s="237">
        <v>4311000000</v>
      </c>
      <c r="B146" s="240">
        <v>180120.2</v>
      </c>
      <c r="C146" s="240">
        <v>0</v>
      </c>
      <c r="D146" s="240">
        <v>180120.2</v>
      </c>
      <c r="E146" s="240">
        <v>0</v>
      </c>
      <c r="F146" s="240">
        <v>180120.2</v>
      </c>
      <c r="G146" s="240">
        <v>0</v>
      </c>
      <c r="H146" s="237" t="s">
        <v>1034</v>
      </c>
      <c r="I146" s="223">
        <f>VLOOKUP(A146,'HK 12.2.2014'!B:H,7,0)</f>
        <v>0</v>
      </c>
      <c r="J146" s="223">
        <f t="shared" si="2"/>
        <v>0</v>
      </c>
    </row>
    <row r="147" spans="1:10">
      <c r="A147" s="237">
        <v>4721100000</v>
      </c>
      <c r="B147" s="240">
        <v>-39557.72</v>
      </c>
      <c r="C147" s="240">
        <v>0</v>
      </c>
      <c r="D147" s="240">
        <v>0</v>
      </c>
      <c r="E147" s="240">
        <v>0</v>
      </c>
      <c r="F147" s="240">
        <v>0</v>
      </c>
      <c r="G147" s="240">
        <v>-39557.72</v>
      </c>
      <c r="H147" s="237" t="s">
        <v>1035</v>
      </c>
      <c r="I147" s="223">
        <f>VLOOKUP(A147,'HK 12.2.2014'!B:H,7,0)</f>
        <v>-39557.72</v>
      </c>
      <c r="J147" s="223">
        <f t="shared" si="2"/>
        <v>0</v>
      </c>
    </row>
    <row r="148" spans="1:10">
      <c r="A148" s="237">
        <v>4721200000</v>
      </c>
      <c r="B148" s="240">
        <v>0</v>
      </c>
      <c r="C148" s="240">
        <v>0</v>
      </c>
      <c r="D148" s="240">
        <v>1939.94</v>
      </c>
      <c r="E148" s="240">
        <v>0</v>
      </c>
      <c r="F148" s="240">
        <v>22328.09</v>
      </c>
      <c r="G148" s="240">
        <v>-22328.09</v>
      </c>
      <c r="H148" s="237" t="s">
        <v>1036</v>
      </c>
      <c r="I148" s="223">
        <f>VLOOKUP(A148,'HK 12.2.2014'!B:H,7,0)</f>
        <v>-22328.09</v>
      </c>
      <c r="J148" s="223">
        <f t="shared" si="2"/>
        <v>0</v>
      </c>
    </row>
    <row r="149" spans="1:10">
      <c r="A149" s="237">
        <v>4722110000</v>
      </c>
      <c r="B149" s="240">
        <v>0</v>
      </c>
      <c r="C149" s="240">
        <v>125</v>
      </c>
      <c r="D149" s="240">
        <v>0</v>
      </c>
      <c r="E149" s="240">
        <v>6768</v>
      </c>
      <c r="F149" s="240">
        <v>0</v>
      </c>
      <c r="G149" s="240">
        <v>6768</v>
      </c>
      <c r="H149" s="237" t="s">
        <v>1037</v>
      </c>
      <c r="I149" s="223">
        <f>VLOOKUP(A149,'HK 12.2.2014'!B:H,7,0)</f>
        <v>6768</v>
      </c>
      <c r="J149" s="223">
        <f t="shared" si="2"/>
        <v>0</v>
      </c>
    </row>
    <row r="150" spans="1:10">
      <c r="A150" s="237">
        <v>4722130000</v>
      </c>
      <c r="B150" s="240">
        <v>0</v>
      </c>
      <c r="C150" s="240">
        <v>0</v>
      </c>
      <c r="D150" s="240">
        <v>0</v>
      </c>
      <c r="E150" s="240">
        <v>1500</v>
      </c>
      <c r="F150" s="240">
        <v>0</v>
      </c>
      <c r="G150" s="240">
        <v>1500</v>
      </c>
      <c r="H150" s="237" t="s">
        <v>1038</v>
      </c>
      <c r="I150" s="223">
        <f>VLOOKUP(A150,'HK 12.2.2014'!B:H,7,0)</f>
        <v>1500</v>
      </c>
      <c r="J150" s="223">
        <f t="shared" si="2"/>
        <v>0</v>
      </c>
    </row>
    <row r="151" spans="1:10">
      <c r="A151" s="237">
        <v>4722140000</v>
      </c>
      <c r="B151" s="240">
        <v>0</v>
      </c>
      <c r="C151" s="240">
        <v>0</v>
      </c>
      <c r="D151" s="240">
        <v>0</v>
      </c>
      <c r="E151" s="240">
        <v>607.26</v>
      </c>
      <c r="F151" s="240">
        <v>0</v>
      </c>
      <c r="G151" s="240">
        <v>607.26</v>
      </c>
      <c r="H151" s="237" t="s">
        <v>1039</v>
      </c>
      <c r="I151" s="223">
        <f>VLOOKUP(A151,'HK 12.2.2014'!B:H,7,0)</f>
        <v>607.26</v>
      </c>
      <c r="J151" s="223">
        <f t="shared" si="2"/>
        <v>0</v>
      </c>
    </row>
    <row r="152" spans="1:10">
      <c r="A152" s="237">
        <v>4722220000</v>
      </c>
      <c r="B152" s="240">
        <v>0</v>
      </c>
      <c r="C152" s="240">
        <v>211.95</v>
      </c>
      <c r="D152" s="240">
        <v>0</v>
      </c>
      <c r="E152" s="240">
        <v>3041.25</v>
      </c>
      <c r="F152" s="240">
        <v>0</v>
      </c>
      <c r="G152" s="240">
        <v>3041.25</v>
      </c>
      <c r="H152" s="237" t="s">
        <v>1040</v>
      </c>
      <c r="I152" s="223">
        <f>VLOOKUP(A152,'HK 12.2.2014'!B:H,7,0)</f>
        <v>3041.25</v>
      </c>
      <c r="J152" s="223">
        <f t="shared" si="2"/>
        <v>0</v>
      </c>
    </row>
    <row r="153" spans="1:10">
      <c r="A153" s="237">
        <v>4722240000</v>
      </c>
      <c r="B153" s="240">
        <v>0</v>
      </c>
      <c r="C153" s="240">
        <v>0</v>
      </c>
      <c r="D153" s="240">
        <v>0</v>
      </c>
      <c r="E153" s="240">
        <v>0</v>
      </c>
      <c r="F153" s="240">
        <v>0</v>
      </c>
      <c r="G153" s="240">
        <v>0</v>
      </c>
      <c r="H153" s="237" t="s">
        <v>1041</v>
      </c>
      <c r="I153" s="223">
        <f>VLOOKUP(A153,'HK 12.2.2014'!B:H,7,0)</f>
        <v>0</v>
      </c>
      <c r="J153" s="223">
        <f t="shared" si="2"/>
        <v>0</v>
      </c>
    </row>
    <row r="154" spans="1:10">
      <c r="A154" s="237">
        <v>4722250000</v>
      </c>
      <c r="B154" s="240">
        <v>0</v>
      </c>
      <c r="C154" s="240">
        <v>0</v>
      </c>
      <c r="D154" s="240">
        <v>0</v>
      </c>
      <c r="E154" s="240">
        <v>503.63</v>
      </c>
      <c r="F154" s="240">
        <v>0</v>
      </c>
      <c r="G154" s="240">
        <v>503.63</v>
      </c>
      <c r="H154" s="237" t="s">
        <v>1042</v>
      </c>
      <c r="I154" s="223">
        <f>VLOOKUP(A154,'HK 12.2.2014'!B:H,7,0)</f>
        <v>503.63</v>
      </c>
      <c r="J154" s="223">
        <f t="shared" si="2"/>
        <v>0</v>
      </c>
    </row>
    <row r="155" spans="1:10">
      <c r="A155" s="237">
        <v>4722310000</v>
      </c>
      <c r="B155" s="240">
        <v>0</v>
      </c>
      <c r="C155" s="240">
        <v>0</v>
      </c>
      <c r="D155" s="240">
        <v>0</v>
      </c>
      <c r="E155" s="240">
        <v>700</v>
      </c>
      <c r="F155" s="240">
        <v>0</v>
      </c>
      <c r="G155" s="240">
        <v>700</v>
      </c>
      <c r="H155" s="237" t="s">
        <v>1043</v>
      </c>
      <c r="I155" s="223">
        <f>VLOOKUP(A155,'HK 12.2.2014'!B:H,7,0)</f>
        <v>700</v>
      </c>
      <c r="J155" s="223">
        <f t="shared" si="2"/>
        <v>0</v>
      </c>
    </row>
    <row r="156" spans="1:10">
      <c r="A156" s="237">
        <v>4722410000</v>
      </c>
      <c r="B156" s="240">
        <v>0</v>
      </c>
      <c r="C156" s="240">
        <v>0</v>
      </c>
      <c r="D156" s="240">
        <v>0</v>
      </c>
      <c r="E156" s="240">
        <v>13962.5</v>
      </c>
      <c r="F156" s="240">
        <v>0</v>
      </c>
      <c r="G156" s="240">
        <v>13962.5</v>
      </c>
      <c r="H156" s="237" t="s">
        <v>1044</v>
      </c>
      <c r="I156" s="223">
        <f>VLOOKUP(A156,'HK 12.2.2014'!B:H,7,0)</f>
        <v>13962.5</v>
      </c>
      <c r="J156" s="223">
        <f t="shared" si="2"/>
        <v>0</v>
      </c>
    </row>
    <row r="157" spans="1:10">
      <c r="A157" s="237">
        <v>4722420000</v>
      </c>
      <c r="B157" s="240">
        <v>0</v>
      </c>
      <c r="C157" s="240">
        <v>100</v>
      </c>
      <c r="D157" s="240">
        <v>0</v>
      </c>
      <c r="E157" s="240">
        <v>20160</v>
      </c>
      <c r="F157" s="240">
        <v>0</v>
      </c>
      <c r="G157" s="240">
        <v>20160</v>
      </c>
      <c r="H157" s="237" t="s">
        <v>1045</v>
      </c>
      <c r="I157" s="223">
        <f>VLOOKUP(A157,'HK 12.2.2014'!B:H,7,0)</f>
        <v>20160</v>
      </c>
      <c r="J157" s="223">
        <f t="shared" si="2"/>
        <v>0</v>
      </c>
    </row>
    <row r="158" spans="1:10">
      <c r="A158" s="237">
        <v>4722500000</v>
      </c>
      <c r="B158" s="240">
        <v>0</v>
      </c>
      <c r="C158" s="240">
        <v>270.95999999999998</v>
      </c>
      <c r="D158" s="240">
        <v>0</v>
      </c>
      <c r="E158" s="240">
        <v>2320.06</v>
      </c>
      <c r="F158" s="240">
        <v>0</v>
      </c>
      <c r="G158" s="240">
        <v>2320.06</v>
      </c>
      <c r="H158" s="237" t="s">
        <v>1046</v>
      </c>
      <c r="I158" s="223">
        <f>VLOOKUP(A158,'HK 12.2.2014'!B:H,7,0)</f>
        <v>2320.06</v>
      </c>
      <c r="J158" s="223">
        <f t="shared" si="2"/>
        <v>0</v>
      </c>
    </row>
    <row r="159" spans="1:10">
      <c r="A159" s="237">
        <v>5012110000</v>
      </c>
      <c r="B159" s="240">
        <v>0</v>
      </c>
      <c r="C159" s="240">
        <v>138</v>
      </c>
      <c r="D159" s="240">
        <v>0</v>
      </c>
      <c r="E159" s="240">
        <v>13366.32</v>
      </c>
      <c r="F159" s="240">
        <v>0</v>
      </c>
      <c r="G159" s="240">
        <v>13366.32</v>
      </c>
      <c r="H159" s="237" t="s">
        <v>1047</v>
      </c>
      <c r="I159" s="223">
        <f>VLOOKUP(A159,'HK 12.2.2014'!B:H,7,0)</f>
        <v>13366.32</v>
      </c>
      <c r="J159" s="223">
        <f t="shared" si="2"/>
        <v>0</v>
      </c>
    </row>
    <row r="160" spans="1:10">
      <c r="A160" s="237">
        <v>5012120000</v>
      </c>
      <c r="B160" s="240">
        <v>0</v>
      </c>
      <c r="C160" s="240">
        <v>363.64</v>
      </c>
      <c r="D160" s="240">
        <v>0</v>
      </c>
      <c r="E160" s="240">
        <v>4223.9399999999996</v>
      </c>
      <c r="F160" s="240">
        <v>0</v>
      </c>
      <c r="G160" s="240">
        <v>4223.9399999999996</v>
      </c>
      <c r="H160" s="237" t="s">
        <v>1048</v>
      </c>
      <c r="I160" s="223">
        <f>VLOOKUP(A160,'HK 12.2.2014'!B:H,7,0)</f>
        <v>4223.9399999999996</v>
      </c>
      <c r="J160" s="223">
        <f t="shared" si="2"/>
        <v>0</v>
      </c>
    </row>
    <row r="161" spans="1:10">
      <c r="A161" s="237">
        <v>5012210000</v>
      </c>
      <c r="B161" s="240">
        <v>0</v>
      </c>
      <c r="C161" s="240">
        <v>3992.35</v>
      </c>
      <c r="D161" s="240">
        <v>0</v>
      </c>
      <c r="E161" s="240">
        <v>46244.38</v>
      </c>
      <c r="F161" s="240">
        <v>0</v>
      </c>
      <c r="G161" s="240">
        <v>46244.38</v>
      </c>
      <c r="H161" s="237" t="s">
        <v>1049</v>
      </c>
      <c r="I161" s="223">
        <f>VLOOKUP(A161,'HK 12.2.2014'!B:H,7,0)</f>
        <v>46244.38</v>
      </c>
      <c r="J161" s="223">
        <f t="shared" si="2"/>
        <v>0</v>
      </c>
    </row>
    <row r="162" spans="1:10">
      <c r="A162" s="237">
        <v>5012220000</v>
      </c>
      <c r="B162" s="240">
        <v>0</v>
      </c>
      <c r="C162" s="240">
        <v>579.53</v>
      </c>
      <c r="D162" s="240">
        <v>0</v>
      </c>
      <c r="E162" s="240">
        <v>12088.27</v>
      </c>
      <c r="F162" s="240">
        <v>0</v>
      </c>
      <c r="G162" s="240">
        <v>12088.27</v>
      </c>
      <c r="H162" s="237" t="s">
        <v>1050</v>
      </c>
      <c r="I162" s="223">
        <f>VLOOKUP(A162,'HK 12.2.2014'!B:H,7,0)</f>
        <v>12088.27</v>
      </c>
      <c r="J162" s="223">
        <f t="shared" si="2"/>
        <v>0</v>
      </c>
    </row>
    <row r="163" spans="1:10">
      <c r="A163" s="237">
        <v>5012310000</v>
      </c>
      <c r="B163" s="240">
        <v>0</v>
      </c>
      <c r="C163" s="240">
        <v>0</v>
      </c>
      <c r="D163" s="240">
        <v>0</v>
      </c>
      <c r="E163" s="240">
        <v>175.47</v>
      </c>
      <c r="F163" s="240">
        <v>0</v>
      </c>
      <c r="G163" s="240">
        <v>175.47</v>
      </c>
      <c r="H163" s="237" t="s">
        <v>1051</v>
      </c>
      <c r="I163" s="223">
        <f>VLOOKUP(A163,'HK 12.2.2014'!B:H,7,0)</f>
        <v>175.47</v>
      </c>
      <c r="J163" s="223">
        <f t="shared" si="2"/>
        <v>0</v>
      </c>
    </row>
    <row r="164" spans="1:10">
      <c r="A164" s="237">
        <v>5012320000</v>
      </c>
      <c r="B164" s="240">
        <v>0</v>
      </c>
      <c r="C164" s="240">
        <v>0</v>
      </c>
      <c r="D164" s="240">
        <v>0</v>
      </c>
      <c r="E164" s="240">
        <v>20.93</v>
      </c>
      <c r="F164" s="240">
        <v>0</v>
      </c>
      <c r="G164" s="240">
        <v>20.93</v>
      </c>
      <c r="H164" s="237" t="s">
        <v>1052</v>
      </c>
      <c r="I164" s="223">
        <f>VLOOKUP(A164,'HK 12.2.2014'!B:H,7,0)</f>
        <v>20.93</v>
      </c>
      <c r="J164" s="223">
        <f t="shared" si="2"/>
        <v>0</v>
      </c>
    </row>
    <row r="165" spans="1:10">
      <c r="A165" s="237">
        <v>5012330000</v>
      </c>
      <c r="B165" s="240">
        <v>0</v>
      </c>
      <c r="C165" s="240">
        <v>0</v>
      </c>
      <c r="D165" s="240">
        <v>0</v>
      </c>
      <c r="E165" s="240">
        <v>16</v>
      </c>
      <c r="F165" s="240">
        <v>0</v>
      </c>
      <c r="G165" s="240">
        <v>16</v>
      </c>
      <c r="H165" s="237" t="s">
        <v>1053</v>
      </c>
      <c r="I165" s="223">
        <f>VLOOKUP(A165,'HK 12.2.2014'!B:H,7,0)</f>
        <v>16</v>
      </c>
      <c r="J165" s="223">
        <f t="shared" si="2"/>
        <v>0</v>
      </c>
    </row>
    <row r="166" spans="1:10">
      <c r="A166" s="237">
        <v>5013110000</v>
      </c>
      <c r="B166" s="240">
        <v>0</v>
      </c>
      <c r="C166" s="240">
        <v>32323.3</v>
      </c>
      <c r="D166" s="240">
        <v>0</v>
      </c>
      <c r="E166" s="240">
        <v>320537.31</v>
      </c>
      <c r="F166" s="240">
        <v>0</v>
      </c>
      <c r="G166" s="240">
        <v>320537.31</v>
      </c>
      <c r="H166" s="237" t="s">
        <v>1054</v>
      </c>
      <c r="I166" s="223">
        <f>VLOOKUP(A166,'HK 12.2.2014'!B:H,7,0)</f>
        <v>320537.31</v>
      </c>
      <c r="J166" s="223">
        <f t="shared" si="2"/>
        <v>0</v>
      </c>
    </row>
    <row r="167" spans="1:10">
      <c r="A167" s="237">
        <v>5014000000</v>
      </c>
      <c r="B167" s="240">
        <v>0</v>
      </c>
      <c r="C167" s="240">
        <v>5780.42</v>
      </c>
      <c r="D167" s="240">
        <v>0</v>
      </c>
      <c r="E167" s="240">
        <v>77559.77</v>
      </c>
      <c r="F167" s="240">
        <v>0</v>
      </c>
      <c r="G167" s="240">
        <v>77559.77</v>
      </c>
      <c r="H167" s="237" t="s">
        <v>1055</v>
      </c>
      <c r="I167" s="223">
        <f>VLOOKUP(A167,'HK 12.2.2014'!B:H,7,0)</f>
        <v>77559.77</v>
      </c>
      <c r="J167" s="223">
        <f t="shared" si="2"/>
        <v>0</v>
      </c>
    </row>
    <row r="168" spans="1:10">
      <c r="A168" s="237">
        <v>5015110000</v>
      </c>
      <c r="B168" s="240">
        <v>0</v>
      </c>
      <c r="C168" s="240">
        <v>945.72</v>
      </c>
      <c r="D168" s="240">
        <v>0</v>
      </c>
      <c r="E168" s="240">
        <v>208417.22</v>
      </c>
      <c r="F168" s="240">
        <v>0</v>
      </c>
      <c r="G168" s="240">
        <v>208417.22</v>
      </c>
      <c r="H168" s="237" t="s">
        <v>1056</v>
      </c>
      <c r="I168" s="223">
        <f>VLOOKUP(A168,'HK 12.2.2014'!B:H,7,0)</f>
        <v>208417.22</v>
      </c>
      <c r="J168" s="223">
        <f t="shared" si="2"/>
        <v>0</v>
      </c>
    </row>
    <row r="169" spans="1:10">
      <c r="A169" s="237">
        <v>5016100000</v>
      </c>
      <c r="B169" s="240">
        <v>0</v>
      </c>
      <c r="C169" s="240">
        <v>5169.95</v>
      </c>
      <c r="D169" s="240">
        <v>0</v>
      </c>
      <c r="E169" s="240">
        <v>68637.039999999994</v>
      </c>
      <c r="F169" s="240">
        <v>0</v>
      </c>
      <c r="G169" s="240">
        <v>68637.039999999994</v>
      </c>
      <c r="H169" s="237" t="s">
        <v>1057</v>
      </c>
      <c r="I169" s="223">
        <f>VLOOKUP(A169,'HK 12.2.2014'!B:H,7,0)</f>
        <v>68637.039999999994</v>
      </c>
      <c r="J169" s="223">
        <f t="shared" si="2"/>
        <v>0</v>
      </c>
    </row>
    <row r="170" spans="1:10">
      <c r="A170" s="237">
        <v>5016200000</v>
      </c>
      <c r="B170" s="240">
        <v>0</v>
      </c>
      <c r="C170" s="240">
        <v>3182.57</v>
      </c>
      <c r="D170" s="240">
        <v>0</v>
      </c>
      <c r="E170" s="240">
        <v>44811.92</v>
      </c>
      <c r="F170" s="240">
        <v>0</v>
      </c>
      <c r="G170" s="240">
        <v>44811.92</v>
      </c>
      <c r="H170" s="237" t="s">
        <v>1058</v>
      </c>
      <c r="I170" s="223">
        <f>VLOOKUP(A170,'HK 12.2.2014'!B:H,7,0)</f>
        <v>44811.92</v>
      </c>
      <c r="J170" s="223">
        <f t="shared" si="2"/>
        <v>0</v>
      </c>
    </row>
    <row r="171" spans="1:10">
      <c r="A171" s="237">
        <v>5017110000</v>
      </c>
      <c r="B171" s="240">
        <v>0</v>
      </c>
      <c r="C171" s="240">
        <v>1827.38</v>
      </c>
      <c r="D171" s="240">
        <v>0</v>
      </c>
      <c r="E171" s="240">
        <v>17835.27</v>
      </c>
      <c r="F171" s="240">
        <v>0</v>
      </c>
      <c r="G171" s="240">
        <v>17835.27</v>
      </c>
      <c r="H171" s="237" t="s">
        <v>1059</v>
      </c>
      <c r="I171" s="223">
        <f>VLOOKUP(A171,'HK 12.2.2014'!B:H,7,0)</f>
        <v>17835.27</v>
      </c>
      <c r="J171" s="223">
        <f t="shared" si="2"/>
        <v>0</v>
      </c>
    </row>
    <row r="172" spans="1:10">
      <c r="A172" s="237">
        <v>5017120000</v>
      </c>
      <c r="B172" s="240">
        <v>0</v>
      </c>
      <c r="C172" s="240">
        <v>1.53</v>
      </c>
      <c r="D172" s="240">
        <v>0</v>
      </c>
      <c r="E172" s="240">
        <v>144.13</v>
      </c>
      <c r="F172" s="240">
        <v>0</v>
      </c>
      <c r="G172" s="240">
        <v>144.13</v>
      </c>
      <c r="H172" s="237" t="s">
        <v>1060</v>
      </c>
      <c r="I172" s="223">
        <f>VLOOKUP(A172,'HK 12.2.2014'!B:H,7,0)</f>
        <v>144.13</v>
      </c>
      <c r="J172" s="223">
        <f t="shared" si="2"/>
        <v>0</v>
      </c>
    </row>
    <row r="173" spans="1:10">
      <c r="A173" s="237">
        <v>5017130000</v>
      </c>
      <c r="B173" s="240">
        <v>0</v>
      </c>
      <c r="C173" s="240">
        <v>543.07000000000005</v>
      </c>
      <c r="D173" s="240">
        <v>0</v>
      </c>
      <c r="E173" s="240">
        <v>15559.63</v>
      </c>
      <c r="F173" s="240">
        <v>0</v>
      </c>
      <c r="G173" s="240">
        <v>15559.63</v>
      </c>
      <c r="H173" s="237" t="s">
        <v>1061</v>
      </c>
      <c r="I173" s="223">
        <f>VLOOKUP(A173,'HK 12.2.2014'!B:H,7,0)</f>
        <v>15559.63</v>
      </c>
      <c r="J173" s="223">
        <f t="shared" si="2"/>
        <v>0</v>
      </c>
    </row>
    <row r="174" spans="1:10">
      <c r="A174" s="237">
        <v>5017500000</v>
      </c>
      <c r="B174" s="240">
        <v>0</v>
      </c>
      <c r="C174" s="240">
        <v>125.73</v>
      </c>
      <c r="D174" s="240">
        <v>0</v>
      </c>
      <c r="E174" s="240">
        <v>8098.44</v>
      </c>
      <c r="F174" s="240">
        <v>0</v>
      </c>
      <c r="G174" s="240">
        <v>8098.44</v>
      </c>
      <c r="H174" s="237" t="s">
        <v>1062</v>
      </c>
      <c r="I174" s="223">
        <f>VLOOKUP(A174,'HK 12.2.2014'!B:H,7,0)</f>
        <v>8098.44</v>
      </c>
      <c r="J174" s="223">
        <f t="shared" si="2"/>
        <v>0</v>
      </c>
    </row>
    <row r="175" spans="1:10">
      <c r="A175" s="237">
        <v>5018100000</v>
      </c>
      <c r="B175" s="240">
        <v>0</v>
      </c>
      <c r="C175" s="240">
        <v>63.42</v>
      </c>
      <c r="D175" s="240">
        <v>0</v>
      </c>
      <c r="E175" s="240">
        <v>1328.33</v>
      </c>
      <c r="F175" s="240">
        <v>0</v>
      </c>
      <c r="G175" s="240">
        <v>1328.33</v>
      </c>
      <c r="H175" s="237" t="s">
        <v>1063</v>
      </c>
      <c r="I175" s="223">
        <f>VLOOKUP(A175,'HK 12.2.2014'!B:H,7,0)</f>
        <v>1328.33</v>
      </c>
      <c r="J175" s="223">
        <f t="shared" si="2"/>
        <v>0</v>
      </c>
    </row>
    <row r="176" spans="1:10">
      <c r="A176" s="237">
        <v>5018200000</v>
      </c>
      <c r="B176" s="240">
        <v>0</v>
      </c>
      <c r="C176" s="240">
        <v>1190.3</v>
      </c>
      <c r="D176" s="240">
        <v>0</v>
      </c>
      <c r="E176" s="240">
        <v>12188.84</v>
      </c>
      <c r="F176" s="240">
        <v>0</v>
      </c>
      <c r="G176" s="240">
        <v>12188.84</v>
      </c>
      <c r="H176" s="237" t="s">
        <v>1064</v>
      </c>
      <c r="I176" s="223">
        <f>VLOOKUP(A176,'HK 12.2.2014'!B:H,7,0)</f>
        <v>12188.84</v>
      </c>
      <c r="J176" s="223">
        <f t="shared" si="2"/>
        <v>0</v>
      </c>
    </row>
    <row r="177" spans="1:10">
      <c r="A177" s="237">
        <v>5019120000</v>
      </c>
      <c r="B177" s="240">
        <v>0</v>
      </c>
      <c r="C177" s="240">
        <v>423.35</v>
      </c>
      <c r="D177" s="240">
        <v>0</v>
      </c>
      <c r="E177" s="240">
        <v>5735.18</v>
      </c>
      <c r="F177" s="240">
        <v>0</v>
      </c>
      <c r="G177" s="240">
        <v>5735.18</v>
      </c>
      <c r="H177" s="237" t="s">
        <v>1065</v>
      </c>
      <c r="I177" s="223">
        <f>VLOOKUP(A177,'HK 12.2.2014'!B:H,7,0)</f>
        <v>5735.18</v>
      </c>
      <c r="J177" s="223">
        <f t="shared" si="2"/>
        <v>0</v>
      </c>
    </row>
    <row r="178" spans="1:10">
      <c r="A178" s="237">
        <v>5019200000</v>
      </c>
      <c r="B178" s="240">
        <v>0</v>
      </c>
      <c r="C178" s="240">
        <v>1236.67</v>
      </c>
      <c r="D178" s="240">
        <v>0</v>
      </c>
      <c r="E178" s="240">
        <v>19551.41</v>
      </c>
      <c r="F178" s="240">
        <v>0</v>
      </c>
      <c r="G178" s="240">
        <v>19551.41</v>
      </c>
      <c r="H178" s="237" t="s">
        <v>1066</v>
      </c>
      <c r="I178" s="223">
        <f>VLOOKUP(A178,'HK 12.2.2014'!B:H,7,0)</f>
        <v>19551.41</v>
      </c>
      <c r="J178" s="223">
        <f t="shared" si="2"/>
        <v>0</v>
      </c>
    </row>
    <row r="179" spans="1:10">
      <c r="A179" s="237">
        <v>5019300000</v>
      </c>
      <c r="B179" s="240">
        <v>0</v>
      </c>
      <c r="C179" s="240">
        <v>8.8000000000000007</v>
      </c>
      <c r="D179" s="240">
        <v>0</v>
      </c>
      <c r="E179" s="240">
        <v>668.23</v>
      </c>
      <c r="F179" s="240">
        <v>0</v>
      </c>
      <c r="G179" s="240">
        <v>668.23</v>
      </c>
      <c r="H179" s="237" t="s">
        <v>1067</v>
      </c>
      <c r="I179" s="223">
        <f>VLOOKUP(A179,'HK 12.2.2014'!B:H,7,0)</f>
        <v>668.23</v>
      </c>
      <c r="J179" s="223">
        <f t="shared" si="2"/>
        <v>0</v>
      </c>
    </row>
    <row r="180" spans="1:10">
      <c r="A180" s="237">
        <v>5019400000</v>
      </c>
      <c r="B180" s="240">
        <v>0</v>
      </c>
      <c r="C180" s="240">
        <v>50.09</v>
      </c>
      <c r="D180" s="240">
        <v>0</v>
      </c>
      <c r="E180" s="240">
        <v>1018.54</v>
      </c>
      <c r="F180" s="240">
        <v>0</v>
      </c>
      <c r="G180" s="240">
        <v>1018.54</v>
      </c>
      <c r="H180" s="237" t="s">
        <v>1068</v>
      </c>
      <c r="I180" s="223">
        <f>VLOOKUP(A180,'HK 12.2.2014'!B:H,7,0)</f>
        <v>1018.54</v>
      </c>
      <c r="J180" s="223">
        <f t="shared" si="2"/>
        <v>0</v>
      </c>
    </row>
    <row r="181" spans="1:10">
      <c r="A181" s="237">
        <v>5021000000</v>
      </c>
      <c r="B181" s="240">
        <v>0</v>
      </c>
      <c r="C181" s="240">
        <v>6828.18</v>
      </c>
      <c r="D181" s="240">
        <v>0</v>
      </c>
      <c r="E181" s="240">
        <v>84875.31</v>
      </c>
      <c r="F181" s="240">
        <v>0</v>
      </c>
      <c r="G181" s="240">
        <v>84875.31</v>
      </c>
      <c r="H181" s="237" t="s">
        <v>1069</v>
      </c>
      <c r="I181" s="223">
        <f>VLOOKUP(A181,'HK 12.2.2014'!B:H,7,0)</f>
        <v>84875.31</v>
      </c>
      <c r="J181" s="223">
        <f t="shared" si="2"/>
        <v>0</v>
      </c>
    </row>
    <row r="182" spans="1:10">
      <c r="A182" s="237">
        <v>5022000000</v>
      </c>
      <c r="B182" s="240">
        <v>0</v>
      </c>
      <c r="C182" s="240">
        <v>8071.78</v>
      </c>
      <c r="D182" s="240">
        <v>0</v>
      </c>
      <c r="E182" s="240">
        <v>74655.850000000006</v>
      </c>
      <c r="F182" s="240">
        <v>0</v>
      </c>
      <c r="G182" s="240">
        <v>74655.850000000006</v>
      </c>
      <c r="H182" s="237" t="s">
        <v>1070</v>
      </c>
      <c r="I182" s="223">
        <f>VLOOKUP(A182,'HK 12.2.2014'!B:H,7,0)</f>
        <v>74655.850000000006</v>
      </c>
      <c r="J182" s="223">
        <f t="shared" si="2"/>
        <v>0</v>
      </c>
    </row>
    <row r="183" spans="1:10">
      <c r="A183" s="237">
        <v>5023000000</v>
      </c>
      <c r="B183" s="240">
        <v>0</v>
      </c>
      <c r="C183" s="240">
        <v>0</v>
      </c>
      <c r="D183" s="240">
        <v>0</v>
      </c>
      <c r="E183" s="240">
        <v>-103.85</v>
      </c>
      <c r="F183" s="240">
        <v>0</v>
      </c>
      <c r="G183" s="240">
        <v>-103.85</v>
      </c>
      <c r="H183" s="237" t="s">
        <v>1071</v>
      </c>
      <c r="I183" s="223">
        <f>VLOOKUP(A183,'HK 12.2.2014'!B:H,7,0)</f>
        <v>-103.85</v>
      </c>
      <c r="J183" s="223">
        <f t="shared" si="2"/>
        <v>0</v>
      </c>
    </row>
    <row r="184" spans="1:10">
      <c r="A184" s="237">
        <v>5024000000</v>
      </c>
      <c r="B184" s="240">
        <v>0</v>
      </c>
      <c r="C184" s="240">
        <v>22060.05</v>
      </c>
      <c r="D184" s="240">
        <v>0</v>
      </c>
      <c r="E184" s="240">
        <v>186641.28</v>
      </c>
      <c r="F184" s="240">
        <v>0</v>
      </c>
      <c r="G184" s="240">
        <v>186641.28</v>
      </c>
      <c r="H184" s="237" t="s">
        <v>1072</v>
      </c>
      <c r="I184" s="223">
        <f>VLOOKUP(A184,'HK 12.2.2014'!B:H,7,0)</f>
        <v>186641.28</v>
      </c>
      <c r="J184" s="223">
        <f t="shared" si="2"/>
        <v>0</v>
      </c>
    </row>
    <row r="185" spans="1:10">
      <c r="A185" s="237">
        <v>5041000000</v>
      </c>
      <c r="B185" s="240">
        <v>0</v>
      </c>
      <c r="C185" s="240">
        <v>0</v>
      </c>
      <c r="D185" s="240">
        <v>0</v>
      </c>
      <c r="E185" s="240">
        <v>72677.8</v>
      </c>
      <c r="F185" s="240">
        <v>0</v>
      </c>
      <c r="G185" s="240">
        <v>72677.8</v>
      </c>
      <c r="H185" s="237" t="s">
        <v>1073</v>
      </c>
      <c r="I185" s="223">
        <f>VLOOKUP(A185,'HK 12.2.2014'!B:H,7,0)</f>
        <v>72677.8</v>
      </c>
      <c r="J185" s="223">
        <f t="shared" si="2"/>
        <v>0</v>
      </c>
    </row>
    <row r="186" spans="1:10">
      <c r="A186" s="237">
        <v>5111000000</v>
      </c>
      <c r="B186" s="240">
        <v>0</v>
      </c>
      <c r="C186" s="240">
        <v>634.6</v>
      </c>
      <c r="D186" s="240">
        <v>0</v>
      </c>
      <c r="E186" s="240">
        <v>15211.1</v>
      </c>
      <c r="F186" s="240">
        <v>0</v>
      </c>
      <c r="G186" s="240">
        <v>15211.1</v>
      </c>
      <c r="H186" s="237" t="s">
        <v>1074</v>
      </c>
      <c r="I186" s="223">
        <f>VLOOKUP(A186,'HK 12.2.2014'!B:H,7,0)</f>
        <v>15211.1</v>
      </c>
      <c r="J186" s="223">
        <f t="shared" si="2"/>
        <v>0</v>
      </c>
    </row>
    <row r="187" spans="1:10">
      <c r="A187" s="237">
        <v>5112000000</v>
      </c>
      <c r="B187" s="240">
        <v>0</v>
      </c>
      <c r="C187" s="240">
        <v>332.45</v>
      </c>
      <c r="D187" s="240">
        <v>0</v>
      </c>
      <c r="E187" s="240">
        <v>25151.279999999999</v>
      </c>
      <c r="F187" s="240">
        <v>0</v>
      </c>
      <c r="G187" s="240">
        <v>25151.279999999999</v>
      </c>
      <c r="H187" s="237" t="s">
        <v>1075</v>
      </c>
      <c r="I187" s="223">
        <f>VLOOKUP(A187,'HK 12.2.2014'!B:H,7,0)</f>
        <v>25151.279999999999</v>
      </c>
      <c r="J187" s="223">
        <f t="shared" si="2"/>
        <v>0</v>
      </c>
    </row>
    <row r="188" spans="1:10">
      <c r="A188" s="237">
        <v>5113000000</v>
      </c>
      <c r="B188" s="240">
        <v>0</v>
      </c>
      <c r="C188" s="240">
        <v>6220.99</v>
      </c>
      <c r="D188" s="240">
        <v>0</v>
      </c>
      <c r="E188" s="240">
        <v>29043.98</v>
      </c>
      <c r="F188" s="240">
        <v>0</v>
      </c>
      <c r="G188" s="240">
        <v>29043.98</v>
      </c>
      <c r="H188" s="237" t="s">
        <v>1076</v>
      </c>
      <c r="I188" s="223">
        <f>VLOOKUP(A188,'HK 12.2.2014'!B:H,7,0)</f>
        <v>29043.98</v>
      </c>
      <c r="J188" s="223">
        <f t="shared" si="2"/>
        <v>0</v>
      </c>
    </row>
    <row r="189" spans="1:10">
      <c r="A189" s="237">
        <v>5114000000</v>
      </c>
      <c r="B189" s="240">
        <v>0</v>
      </c>
      <c r="C189" s="240">
        <v>418</v>
      </c>
      <c r="D189" s="240">
        <v>0</v>
      </c>
      <c r="E189" s="240">
        <v>6781.55</v>
      </c>
      <c r="F189" s="240">
        <v>0</v>
      </c>
      <c r="G189" s="240">
        <v>6781.55</v>
      </c>
      <c r="H189" s="237" t="s">
        <v>1077</v>
      </c>
      <c r="I189" s="223">
        <f>VLOOKUP(A189,'HK 12.2.2014'!B:H,7,0)</f>
        <v>6781.55</v>
      </c>
      <c r="J189" s="223">
        <f t="shared" si="2"/>
        <v>0</v>
      </c>
    </row>
    <row r="190" spans="1:10">
      <c r="A190" s="237">
        <v>5121100000</v>
      </c>
      <c r="B190" s="240">
        <v>0</v>
      </c>
      <c r="C190" s="240">
        <v>0</v>
      </c>
      <c r="D190" s="240">
        <v>0</v>
      </c>
      <c r="E190" s="240">
        <v>331.04</v>
      </c>
      <c r="F190" s="240">
        <v>0</v>
      </c>
      <c r="G190" s="240">
        <v>331.04</v>
      </c>
      <c r="H190" s="237" t="s">
        <v>1078</v>
      </c>
      <c r="I190" s="223">
        <f>VLOOKUP(A190,'HK 12.2.2014'!B:H,7,0)</f>
        <v>331.04</v>
      </c>
      <c r="J190" s="223">
        <f t="shared" si="2"/>
        <v>0</v>
      </c>
    </row>
    <row r="191" spans="1:10">
      <c r="A191" s="237">
        <v>5121200000</v>
      </c>
      <c r="B191" s="240">
        <v>0</v>
      </c>
      <c r="C191" s="240">
        <v>1.02</v>
      </c>
      <c r="D191" s="240">
        <v>0</v>
      </c>
      <c r="E191" s="240">
        <v>3844.56</v>
      </c>
      <c r="F191" s="240">
        <v>0</v>
      </c>
      <c r="G191" s="240">
        <v>3844.56</v>
      </c>
      <c r="H191" s="237" t="s">
        <v>1079</v>
      </c>
      <c r="I191" s="223">
        <f>VLOOKUP(A191,'HK 12.2.2014'!B:H,7,0)</f>
        <v>3844.56</v>
      </c>
      <c r="J191" s="223">
        <f t="shared" si="2"/>
        <v>0</v>
      </c>
    </row>
    <row r="192" spans="1:10">
      <c r="A192" s="237">
        <v>5123100000</v>
      </c>
      <c r="B192" s="240">
        <v>0</v>
      </c>
      <c r="C192" s="240">
        <v>311.2</v>
      </c>
      <c r="D192" s="240">
        <v>0</v>
      </c>
      <c r="E192" s="240">
        <v>4513.2</v>
      </c>
      <c r="F192" s="240">
        <v>0</v>
      </c>
      <c r="G192" s="240">
        <v>4513.2</v>
      </c>
      <c r="H192" s="237" t="s">
        <v>1080</v>
      </c>
      <c r="I192" s="223">
        <f>VLOOKUP(A192,'HK 12.2.2014'!B:H,7,0)</f>
        <v>4513.2</v>
      </c>
      <c r="J192" s="223">
        <f t="shared" si="2"/>
        <v>0</v>
      </c>
    </row>
    <row r="193" spans="1:10">
      <c r="A193" s="237">
        <v>5123200000</v>
      </c>
      <c r="B193" s="240">
        <v>0</v>
      </c>
      <c r="C193" s="240">
        <v>34.6</v>
      </c>
      <c r="D193" s="240">
        <v>0</v>
      </c>
      <c r="E193" s="240">
        <v>582.6</v>
      </c>
      <c r="F193" s="240">
        <v>0</v>
      </c>
      <c r="G193" s="240">
        <v>582.6</v>
      </c>
      <c r="H193" s="237" t="s">
        <v>1081</v>
      </c>
      <c r="I193" s="223">
        <f>VLOOKUP(A193,'HK 12.2.2014'!B:H,7,0)</f>
        <v>582.6</v>
      </c>
      <c r="J193" s="223">
        <f t="shared" si="2"/>
        <v>0</v>
      </c>
    </row>
    <row r="194" spans="1:10">
      <c r="A194" s="237">
        <v>5124100000</v>
      </c>
      <c r="B194" s="240">
        <v>0</v>
      </c>
      <c r="C194" s="240">
        <v>210</v>
      </c>
      <c r="D194" s="240">
        <v>0</v>
      </c>
      <c r="E194" s="240">
        <v>528.1</v>
      </c>
      <c r="F194" s="240">
        <v>0</v>
      </c>
      <c r="G194" s="240">
        <v>528.1</v>
      </c>
      <c r="H194" s="237" t="s">
        <v>1082</v>
      </c>
      <c r="I194" s="223">
        <f>VLOOKUP(A194,'HK 12.2.2014'!B:H,7,0)</f>
        <v>528.1</v>
      </c>
      <c r="J194" s="223">
        <f t="shared" si="2"/>
        <v>0</v>
      </c>
    </row>
    <row r="195" spans="1:10">
      <c r="A195" s="237">
        <v>5124200000</v>
      </c>
      <c r="B195" s="240">
        <v>0</v>
      </c>
      <c r="C195" s="240">
        <v>305</v>
      </c>
      <c r="D195" s="240">
        <v>0</v>
      </c>
      <c r="E195" s="240">
        <v>783.03</v>
      </c>
      <c r="F195" s="240">
        <v>0</v>
      </c>
      <c r="G195" s="240">
        <v>783.03</v>
      </c>
      <c r="H195" s="237" t="s">
        <v>1083</v>
      </c>
      <c r="I195" s="223">
        <f>VLOOKUP(A195,'HK 12.2.2014'!B:H,7,0)</f>
        <v>783.03</v>
      </c>
      <c r="J195" s="223">
        <f t="shared" ref="J195:J258" si="3">+I195-G195</f>
        <v>0</v>
      </c>
    </row>
    <row r="196" spans="1:10">
      <c r="A196" s="237">
        <v>5131000000</v>
      </c>
      <c r="B196" s="240">
        <v>0</v>
      </c>
      <c r="C196" s="240">
        <v>185.86</v>
      </c>
      <c r="D196" s="240">
        <v>0</v>
      </c>
      <c r="E196" s="240">
        <v>1942.95</v>
      </c>
      <c r="F196" s="240">
        <v>0</v>
      </c>
      <c r="G196" s="240">
        <v>1942.95</v>
      </c>
      <c r="H196" s="237" t="s">
        <v>1084</v>
      </c>
      <c r="I196" s="223">
        <f>VLOOKUP(A196,'HK 12.2.2014'!B:H,7,0)</f>
        <v>1942.95</v>
      </c>
      <c r="J196" s="223">
        <f t="shared" si="3"/>
        <v>0</v>
      </c>
    </row>
    <row r="197" spans="1:10">
      <c r="A197" s="237">
        <v>5181000000</v>
      </c>
      <c r="B197" s="240">
        <v>0</v>
      </c>
      <c r="C197" s="240">
        <v>263.08</v>
      </c>
      <c r="D197" s="240">
        <v>0</v>
      </c>
      <c r="E197" s="240">
        <v>3439.48</v>
      </c>
      <c r="F197" s="240">
        <v>0</v>
      </c>
      <c r="G197" s="240">
        <v>3439.48</v>
      </c>
      <c r="H197" s="237" t="s">
        <v>1085</v>
      </c>
      <c r="I197" s="223">
        <f>VLOOKUP(A197,'HK 12.2.2014'!B:H,7,0)</f>
        <v>3439.48</v>
      </c>
      <c r="J197" s="223">
        <f t="shared" si="3"/>
        <v>0</v>
      </c>
    </row>
    <row r="198" spans="1:10">
      <c r="A198" s="237">
        <v>5182000000</v>
      </c>
      <c r="B198" s="240">
        <v>0</v>
      </c>
      <c r="C198" s="240">
        <v>-7829.77</v>
      </c>
      <c r="D198" s="240">
        <v>0</v>
      </c>
      <c r="E198" s="240">
        <v>28552.34</v>
      </c>
      <c r="F198" s="240">
        <v>0</v>
      </c>
      <c r="G198" s="240">
        <v>28552.34</v>
      </c>
      <c r="H198" s="237" t="s">
        <v>1086</v>
      </c>
      <c r="I198" s="223">
        <f>VLOOKUP(A198,'HK 12.2.2014'!B:H,7,0)</f>
        <v>28552.34</v>
      </c>
      <c r="J198" s="223">
        <f t="shared" si="3"/>
        <v>0</v>
      </c>
    </row>
    <row r="199" spans="1:10">
      <c r="A199" s="237">
        <v>5182100000</v>
      </c>
      <c r="B199" s="240">
        <v>0</v>
      </c>
      <c r="C199" s="240">
        <v>10000</v>
      </c>
      <c r="D199" s="240">
        <v>0</v>
      </c>
      <c r="E199" s="240">
        <v>10000</v>
      </c>
      <c r="F199" s="240">
        <v>0</v>
      </c>
      <c r="G199" s="240">
        <v>10000</v>
      </c>
      <c r="H199" s="237" t="s">
        <v>1087</v>
      </c>
      <c r="I199" s="223">
        <f>VLOOKUP(A199,'HK 12.2.2014'!B:H,7,0)</f>
        <v>10000</v>
      </c>
      <c r="J199" s="223">
        <f t="shared" si="3"/>
        <v>0</v>
      </c>
    </row>
    <row r="200" spans="1:10">
      <c r="A200" s="237">
        <v>5182200000</v>
      </c>
      <c r="B200" s="240">
        <v>0</v>
      </c>
      <c r="C200" s="240">
        <v>1000</v>
      </c>
      <c r="D200" s="240">
        <v>0</v>
      </c>
      <c r="E200" s="240">
        <v>1000</v>
      </c>
      <c r="F200" s="240">
        <v>0</v>
      </c>
      <c r="G200" s="240">
        <v>1000</v>
      </c>
      <c r="H200" s="237" t="s">
        <v>1088</v>
      </c>
      <c r="I200" s="223">
        <f>VLOOKUP(A200,'HK 12.2.2014'!B:H,7,0)</f>
        <v>1000</v>
      </c>
      <c r="J200" s="223">
        <f t="shared" si="3"/>
        <v>0</v>
      </c>
    </row>
    <row r="201" spans="1:10">
      <c r="A201" s="237">
        <v>5182300000</v>
      </c>
      <c r="B201" s="240">
        <v>0</v>
      </c>
      <c r="C201" s="240">
        <v>28217.52</v>
      </c>
      <c r="D201" s="240">
        <v>0</v>
      </c>
      <c r="E201" s="240">
        <v>50217.52</v>
      </c>
      <c r="F201" s="240">
        <v>0</v>
      </c>
      <c r="G201" s="240">
        <v>50217.52</v>
      </c>
      <c r="H201" s="237" t="s">
        <v>1089</v>
      </c>
      <c r="I201" s="223">
        <f>VLOOKUP(A201,'HK 12.2.2014'!B:H,7,0)</f>
        <v>50217.52</v>
      </c>
      <c r="J201" s="223">
        <f t="shared" si="3"/>
        <v>0</v>
      </c>
    </row>
    <row r="202" spans="1:10">
      <c r="A202" s="237">
        <v>5182330000</v>
      </c>
      <c r="B202" s="240">
        <v>0</v>
      </c>
      <c r="C202" s="240">
        <v>5348.89</v>
      </c>
      <c r="D202" s="240">
        <v>0</v>
      </c>
      <c r="E202" s="240">
        <v>9440.89</v>
      </c>
      <c r="F202" s="240">
        <v>0</v>
      </c>
      <c r="G202" s="240">
        <v>9440.89</v>
      </c>
      <c r="H202" s="237" t="s">
        <v>1090</v>
      </c>
      <c r="I202" s="223">
        <f>VLOOKUP(A202,'HK 12.2.2014'!B:H,7,0)</f>
        <v>9440.89</v>
      </c>
      <c r="J202" s="223">
        <f t="shared" si="3"/>
        <v>0</v>
      </c>
    </row>
    <row r="203" spans="1:10">
      <c r="A203" s="237">
        <v>5183100000</v>
      </c>
      <c r="B203" s="240">
        <v>0</v>
      </c>
      <c r="C203" s="240">
        <v>2148.8200000000002</v>
      </c>
      <c r="D203" s="240">
        <v>0</v>
      </c>
      <c r="E203" s="240">
        <v>30928.28</v>
      </c>
      <c r="F203" s="240">
        <v>0</v>
      </c>
      <c r="G203" s="240">
        <v>30928.28</v>
      </c>
      <c r="H203" s="237" t="s">
        <v>1091</v>
      </c>
      <c r="I203" s="223">
        <f>VLOOKUP(A203,'HK 12.2.2014'!B:H,7,0)</f>
        <v>30928.28</v>
      </c>
      <c r="J203" s="223">
        <f t="shared" si="3"/>
        <v>0</v>
      </c>
    </row>
    <row r="204" spans="1:10">
      <c r="A204" s="237">
        <v>5185000000</v>
      </c>
      <c r="B204" s="240">
        <v>0</v>
      </c>
      <c r="C204" s="240">
        <v>3507.47</v>
      </c>
      <c r="D204" s="240">
        <v>0</v>
      </c>
      <c r="E204" s="240">
        <v>28507.599999999999</v>
      </c>
      <c r="F204" s="240">
        <v>0</v>
      </c>
      <c r="G204" s="240">
        <v>28507.599999999999</v>
      </c>
      <c r="H204" s="237" t="s">
        <v>1092</v>
      </c>
      <c r="I204" s="223">
        <f>VLOOKUP(A204,'HK 12.2.2014'!B:H,7,0)</f>
        <v>28507.599999999999</v>
      </c>
      <c r="J204" s="223">
        <f t="shared" si="3"/>
        <v>0</v>
      </c>
    </row>
    <row r="205" spans="1:10">
      <c r="A205" s="237">
        <v>5186100000</v>
      </c>
      <c r="B205" s="240">
        <v>0</v>
      </c>
      <c r="C205" s="240">
        <v>1072.42</v>
      </c>
      <c r="D205" s="240">
        <v>0</v>
      </c>
      <c r="E205" s="240">
        <v>11684.15</v>
      </c>
      <c r="F205" s="240">
        <v>0</v>
      </c>
      <c r="G205" s="240">
        <v>11684.15</v>
      </c>
      <c r="H205" s="237" t="s">
        <v>1093</v>
      </c>
      <c r="I205" s="223">
        <f>VLOOKUP(A205,'HK 12.2.2014'!B:H,7,0)</f>
        <v>11684.15</v>
      </c>
      <c r="J205" s="223">
        <f t="shared" si="3"/>
        <v>0</v>
      </c>
    </row>
    <row r="206" spans="1:10">
      <c r="A206" s="237">
        <v>5186200000</v>
      </c>
      <c r="B206" s="240">
        <v>0</v>
      </c>
      <c r="C206" s="240">
        <v>199.44</v>
      </c>
      <c r="D206" s="240">
        <v>0</v>
      </c>
      <c r="E206" s="240">
        <v>2292.15</v>
      </c>
      <c r="F206" s="240">
        <v>0</v>
      </c>
      <c r="G206" s="240">
        <v>2292.15</v>
      </c>
      <c r="H206" s="237" t="s">
        <v>1094</v>
      </c>
      <c r="I206" s="223">
        <f>VLOOKUP(A206,'HK 12.2.2014'!B:H,7,0)</f>
        <v>2292.15</v>
      </c>
      <c r="J206" s="223">
        <f t="shared" si="3"/>
        <v>0</v>
      </c>
    </row>
    <row r="207" spans="1:10">
      <c r="A207" s="237">
        <v>5186300000</v>
      </c>
      <c r="B207" s="240">
        <v>0</v>
      </c>
      <c r="C207" s="240">
        <v>235.49</v>
      </c>
      <c r="D207" s="240">
        <v>0</v>
      </c>
      <c r="E207" s="240">
        <v>2975.77</v>
      </c>
      <c r="F207" s="240">
        <v>0</v>
      </c>
      <c r="G207" s="240">
        <v>2975.77</v>
      </c>
      <c r="H207" s="237" t="s">
        <v>1095</v>
      </c>
      <c r="I207" s="223">
        <f>VLOOKUP(A207,'HK 12.2.2014'!B:H,7,0)</f>
        <v>2975.77</v>
      </c>
      <c r="J207" s="223">
        <f t="shared" si="3"/>
        <v>0</v>
      </c>
    </row>
    <row r="208" spans="1:10">
      <c r="A208" s="237">
        <v>5187000000</v>
      </c>
      <c r="B208" s="240">
        <v>0</v>
      </c>
      <c r="C208" s="240">
        <v>83000</v>
      </c>
      <c r="D208" s="240">
        <v>0</v>
      </c>
      <c r="E208" s="240">
        <v>281000</v>
      </c>
      <c r="F208" s="240">
        <v>0</v>
      </c>
      <c r="G208" s="240">
        <v>281000</v>
      </c>
      <c r="H208" s="237" t="s">
        <v>1096</v>
      </c>
      <c r="I208" s="223">
        <f>VLOOKUP(A208,'HK 12.2.2014'!B:H,7,0)</f>
        <v>216000</v>
      </c>
      <c r="J208" s="223">
        <f t="shared" si="3"/>
        <v>-65000</v>
      </c>
    </row>
    <row r="209" spans="1:10">
      <c r="A209" s="237">
        <v>5189100000</v>
      </c>
      <c r="B209" s="240">
        <v>0</v>
      </c>
      <c r="C209" s="240">
        <v>508.8</v>
      </c>
      <c r="D209" s="240">
        <v>0</v>
      </c>
      <c r="E209" s="240">
        <v>15151.28</v>
      </c>
      <c r="F209" s="240">
        <v>0</v>
      </c>
      <c r="G209" s="240">
        <v>15151.28</v>
      </c>
      <c r="H209" s="237" t="s">
        <v>1097</v>
      </c>
      <c r="I209" s="223">
        <f>VLOOKUP(A209,'HK 12.2.2014'!B:H,7,0)</f>
        <v>15151.28</v>
      </c>
      <c r="J209" s="223">
        <f t="shared" si="3"/>
        <v>0</v>
      </c>
    </row>
    <row r="210" spans="1:10">
      <c r="A210" s="237">
        <v>5189200000</v>
      </c>
      <c r="B210" s="240">
        <v>0</v>
      </c>
      <c r="C210" s="240">
        <v>14849.19</v>
      </c>
      <c r="D210" s="240">
        <v>0</v>
      </c>
      <c r="E210" s="240">
        <v>53122.559999999998</v>
      </c>
      <c r="F210" s="240">
        <v>0</v>
      </c>
      <c r="G210" s="240">
        <v>53122.559999999998</v>
      </c>
      <c r="H210" s="237" t="s">
        <v>1098</v>
      </c>
      <c r="I210" s="223">
        <f>VLOOKUP(A210,'HK 12.2.2014'!B:H,7,0)</f>
        <v>52978.36</v>
      </c>
      <c r="J210" s="223">
        <f t="shared" si="3"/>
        <v>-144.19999999999709</v>
      </c>
    </row>
    <row r="211" spans="1:10">
      <c r="A211" s="237">
        <v>5189300000</v>
      </c>
      <c r="B211" s="240">
        <v>0</v>
      </c>
      <c r="C211" s="240">
        <v>4216.08</v>
      </c>
      <c r="D211" s="240">
        <v>0</v>
      </c>
      <c r="E211" s="240">
        <v>40440.1</v>
      </c>
      <c r="F211" s="240">
        <v>0</v>
      </c>
      <c r="G211" s="240">
        <v>40440.1</v>
      </c>
      <c r="H211" s="237" t="s">
        <v>1099</v>
      </c>
      <c r="I211" s="223">
        <f>VLOOKUP(A211,'HK 12.2.2014'!B:H,7,0)</f>
        <v>40440.1</v>
      </c>
      <c r="J211" s="223">
        <f t="shared" si="3"/>
        <v>0</v>
      </c>
    </row>
    <row r="212" spans="1:10">
      <c r="A212" s="237">
        <v>5211100000</v>
      </c>
      <c r="B212" s="240">
        <v>0</v>
      </c>
      <c r="C212" s="240">
        <v>200222.06</v>
      </c>
      <c r="D212" s="240">
        <v>0</v>
      </c>
      <c r="E212" s="240">
        <v>2254973.33</v>
      </c>
      <c r="F212" s="240">
        <v>8358.58</v>
      </c>
      <c r="G212" s="240">
        <v>2246614.75</v>
      </c>
      <c r="H212" s="237" t="s">
        <v>1100</v>
      </c>
      <c r="I212" s="223">
        <f>VLOOKUP(A212,'HK 12.2.2014'!B:H,7,0)</f>
        <v>2246614.75</v>
      </c>
      <c r="J212" s="223">
        <f t="shared" si="3"/>
        <v>0</v>
      </c>
    </row>
    <row r="213" spans="1:10">
      <c r="A213" s="237">
        <v>5211200000</v>
      </c>
      <c r="B213" s="240">
        <v>0</v>
      </c>
      <c r="C213" s="240">
        <v>67578.490000000005</v>
      </c>
      <c r="D213" s="240">
        <v>0</v>
      </c>
      <c r="E213" s="240">
        <v>588247.81000000006</v>
      </c>
      <c r="F213" s="240">
        <v>0</v>
      </c>
      <c r="G213" s="240">
        <v>588247.81000000006</v>
      </c>
      <c r="H213" s="237" t="s">
        <v>1101</v>
      </c>
      <c r="I213" s="223">
        <f>VLOOKUP(A213,'HK 12.2.2014'!B:H,7,0)</f>
        <v>588247.81000000006</v>
      </c>
      <c r="J213" s="223">
        <f t="shared" si="3"/>
        <v>0</v>
      </c>
    </row>
    <row r="214" spans="1:10">
      <c r="A214" s="237">
        <v>5212100000</v>
      </c>
      <c r="B214" s="240">
        <v>0</v>
      </c>
      <c r="C214" s="240">
        <v>6076.91</v>
      </c>
      <c r="D214" s="240">
        <v>0</v>
      </c>
      <c r="E214" s="240">
        <v>56976.21</v>
      </c>
      <c r="F214" s="240">
        <v>0</v>
      </c>
      <c r="G214" s="240">
        <v>56976.21</v>
      </c>
      <c r="H214" s="237" t="s">
        <v>1102</v>
      </c>
      <c r="I214" s="223">
        <f>VLOOKUP(A214,'HK 12.2.2014'!B:H,7,0)</f>
        <v>56976.21</v>
      </c>
      <c r="J214" s="223">
        <f t="shared" si="3"/>
        <v>0</v>
      </c>
    </row>
    <row r="215" spans="1:10">
      <c r="A215" s="237">
        <v>5212200000</v>
      </c>
      <c r="B215" s="240">
        <v>0</v>
      </c>
      <c r="C215" s="240">
        <v>2016.03</v>
      </c>
      <c r="D215" s="240">
        <v>0</v>
      </c>
      <c r="E215" s="240">
        <v>29900.85</v>
      </c>
      <c r="F215" s="240">
        <v>1226.56</v>
      </c>
      <c r="G215" s="240">
        <v>28674.29</v>
      </c>
      <c r="H215" s="237" t="s">
        <v>1103</v>
      </c>
      <c r="I215" s="223">
        <f>VLOOKUP(A215,'HK 12.2.2014'!B:H,7,0)</f>
        <v>28674.29</v>
      </c>
      <c r="J215" s="223">
        <f t="shared" si="3"/>
        <v>0</v>
      </c>
    </row>
    <row r="216" spans="1:10">
      <c r="A216" s="237">
        <v>5241100000</v>
      </c>
      <c r="B216" s="240">
        <v>0</v>
      </c>
      <c r="C216" s="240">
        <v>68707.17</v>
      </c>
      <c r="D216" s="240">
        <v>0</v>
      </c>
      <c r="E216" s="240">
        <v>804165.65</v>
      </c>
      <c r="F216" s="240">
        <v>2919.69</v>
      </c>
      <c r="G216" s="240">
        <v>801245.96</v>
      </c>
      <c r="H216" s="237" t="s">
        <v>1104</v>
      </c>
      <c r="I216" s="223">
        <f>VLOOKUP(A216,'HK 12.2.2014'!B:H,7,0)</f>
        <v>801245.96</v>
      </c>
      <c r="J216" s="223">
        <f t="shared" si="3"/>
        <v>0</v>
      </c>
    </row>
    <row r="217" spans="1:10">
      <c r="A217" s="237">
        <v>5241200000</v>
      </c>
      <c r="B217" s="240">
        <v>0</v>
      </c>
      <c r="C217" s="240">
        <v>18477.72</v>
      </c>
      <c r="D217" s="240">
        <v>0</v>
      </c>
      <c r="E217" s="240">
        <v>200088.97</v>
      </c>
      <c r="F217" s="240">
        <v>431.64</v>
      </c>
      <c r="G217" s="240">
        <v>199657.33</v>
      </c>
      <c r="H217" s="237" t="s">
        <v>1105</v>
      </c>
      <c r="I217" s="223">
        <f>VLOOKUP(A217,'HK 12.2.2014'!B:H,7,0)</f>
        <v>199657.33</v>
      </c>
      <c r="J217" s="223">
        <f t="shared" si="3"/>
        <v>0</v>
      </c>
    </row>
    <row r="218" spans="1:10">
      <c r="A218" s="237">
        <v>5242100000</v>
      </c>
      <c r="B218" s="240">
        <v>0</v>
      </c>
      <c r="C218" s="240">
        <v>0</v>
      </c>
      <c r="D218" s="240">
        <v>0</v>
      </c>
      <c r="E218" s="240">
        <v>0</v>
      </c>
      <c r="F218" s="240">
        <v>0</v>
      </c>
      <c r="G218" s="240">
        <v>0</v>
      </c>
      <c r="H218" s="237" t="s">
        <v>1104</v>
      </c>
      <c r="I218" s="223">
        <f>VLOOKUP(A218,'HK 12.2.2014'!B:H,7,0)</f>
        <v>0</v>
      </c>
      <c r="J218" s="223">
        <f t="shared" si="3"/>
        <v>0</v>
      </c>
    </row>
    <row r="219" spans="1:10">
      <c r="A219" s="237">
        <v>5242200000</v>
      </c>
      <c r="B219" s="240">
        <v>0</v>
      </c>
      <c r="C219" s="240">
        <v>0</v>
      </c>
      <c r="D219" s="240">
        <v>0</v>
      </c>
      <c r="E219" s="240">
        <v>0</v>
      </c>
      <c r="F219" s="240">
        <v>0</v>
      </c>
      <c r="G219" s="240">
        <v>0</v>
      </c>
      <c r="H219" s="237" t="s">
        <v>1105</v>
      </c>
      <c r="I219" s="223">
        <f>VLOOKUP(A219,'HK 12.2.2014'!B:H,7,0)</f>
        <v>0</v>
      </c>
      <c r="J219" s="223">
        <f t="shared" si="3"/>
        <v>0</v>
      </c>
    </row>
    <row r="220" spans="1:10">
      <c r="A220" s="237">
        <v>5271000000</v>
      </c>
      <c r="B220" s="240">
        <v>0</v>
      </c>
      <c r="C220" s="240">
        <v>1939.94</v>
      </c>
      <c r="D220" s="240">
        <v>0</v>
      </c>
      <c r="E220" s="240">
        <v>22328.09</v>
      </c>
      <c r="F220" s="240">
        <v>0</v>
      </c>
      <c r="G220" s="240">
        <v>22328.09</v>
      </c>
      <c r="H220" s="237" t="s">
        <v>1106</v>
      </c>
      <c r="I220" s="223">
        <f>VLOOKUP(A220,'HK 12.2.2014'!B:H,7,0)</f>
        <v>22328.09</v>
      </c>
      <c r="J220" s="223">
        <f t="shared" si="3"/>
        <v>0</v>
      </c>
    </row>
    <row r="221" spans="1:10">
      <c r="A221" s="237">
        <v>5272000000</v>
      </c>
      <c r="B221" s="240">
        <v>0</v>
      </c>
      <c r="C221" s="240">
        <v>1526.04</v>
      </c>
      <c r="D221" s="240">
        <v>0</v>
      </c>
      <c r="E221" s="240">
        <v>21810.3</v>
      </c>
      <c r="F221" s="240">
        <v>0</v>
      </c>
      <c r="G221" s="240">
        <v>21810.3</v>
      </c>
      <c r="H221" s="237" t="s">
        <v>1213</v>
      </c>
      <c r="I221" s="223">
        <f>VLOOKUP(A221,'HK 12.2.2014'!B:H,7,0)</f>
        <v>21810.3</v>
      </c>
      <c r="J221" s="223">
        <f t="shared" si="3"/>
        <v>0</v>
      </c>
    </row>
    <row r="222" spans="1:10">
      <c r="A222" s="237">
        <v>5281000000</v>
      </c>
      <c r="B222" s="240">
        <v>0</v>
      </c>
      <c r="C222" s="240">
        <v>0</v>
      </c>
      <c r="D222" s="240">
        <v>0</v>
      </c>
      <c r="E222" s="240">
        <v>841.45</v>
      </c>
      <c r="F222" s="240">
        <v>0</v>
      </c>
      <c r="G222" s="240">
        <v>841.45</v>
      </c>
      <c r="H222" s="237" t="s">
        <v>1107</v>
      </c>
      <c r="I222" s="223">
        <f>VLOOKUP(A222,'HK 12.2.2014'!B:H,7,0)</f>
        <v>841.45</v>
      </c>
      <c r="J222" s="223">
        <f t="shared" si="3"/>
        <v>0</v>
      </c>
    </row>
    <row r="223" spans="1:10">
      <c r="A223" s="237">
        <v>5283000000</v>
      </c>
      <c r="B223" s="240">
        <v>0</v>
      </c>
      <c r="C223" s="240">
        <v>250.67</v>
      </c>
      <c r="D223" s="240">
        <v>0</v>
      </c>
      <c r="E223" s="240">
        <v>5823.63</v>
      </c>
      <c r="F223" s="240">
        <v>0</v>
      </c>
      <c r="G223" s="240">
        <v>5823.63</v>
      </c>
      <c r="H223" s="237" t="s">
        <v>1108</v>
      </c>
      <c r="I223" s="223">
        <f>VLOOKUP(A223,'HK 12.2.2014'!B:H,7,0)</f>
        <v>5823.63</v>
      </c>
      <c r="J223" s="223">
        <f t="shared" si="3"/>
        <v>0</v>
      </c>
    </row>
    <row r="224" spans="1:10">
      <c r="A224" s="237">
        <v>5311000000</v>
      </c>
      <c r="B224" s="240">
        <v>0</v>
      </c>
      <c r="C224" s="240">
        <v>80.540000000000006</v>
      </c>
      <c r="D224" s="240">
        <v>0</v>
      </c>
      <c r="E224" s="240">
        <v>80.540000000000006</v>
      </c>
      <c r="F224" s="240">
        <v>0</v>
      </c>
      <c r="G224" s="240">
        <v>80.540000000000006</v>
      </c>
      <c r="H224" s="237" t="s">
        <v>1109</v>
      </c>
      <c r="I224" s="223">
        <f>VLOOKUP(A224,'HK 12.2.2014'!B:H,7,0)</f>
        <v>80.540000000000006</v>
      </c>
      <c r="J224" s="223">
        <f t="shared" si="3"/>
        <v>0</v>
      </c>
    </row>
    <row r="225" spans="1:10">
      <c r="A225" s="237">
        <v>5321000000</v>
      </c>
      <c r="B225" s="240">
        <v>0</v>
      </c>
      <c r="C225" s="240">
        <v>0</v>
      </c>
      <c r="D225" s="240">
        <v>0</v>
      </c>
      <c r="E225" s="240">
        <v>6086.5</v>
      </c>
      <c r="F225" s="240">
        <v>0</v>
      </c>
      <c r="G225" s="240">
        <v>6086.5</v>
      </c>
      <c r="H225" s="237" t="s">
        <v>1110</v>
      </c>
      <c r="I225" s="223">
        <f>VLOOKUP(A225,'HK 12.2.2014'!B:H,7,0)</f>
        <v>6086.5</v>
      </c>
      <c r="J225" s="223">
        <f t="shared" si="3"/>
        <v>0</v>
      </c>
    </row>
    <row r="226" spans="1:10">
      <c r="A226" s="237">
        <v>5411000000</v>
      </c>
      <c r="B226" s="240">
        <v>0</v>
      </c>
      <c r="C226" s="240">
        <v>0</v>
      </c>
      <c r="D226" s="240">
        <v>0</v>
      </c>
      <c r="E226" s="240">
        <v>2664.79</v>
      </c>
      <c r="F226" s="240">
        <v>0</v>
      </c>
      <c r="G226" s="240">
        <v>2664.79</v>
      </c>
      <c r="H226" s="237" t="s">
        <v>1111</v>
      </c>
      <c r="I226" s="223">
        <f>VLOOKUP(A226,'HK 12.2.2014'!B:H,7,0)</f>
        <v>2664.79</v>
      </c>
      <c r="J226" s="223">
        <f t="shared" si="3"/>
        <v>0</v>
      </c>
    </row>
    <row r="227" spans="1:10">
      <c r="A227" s="237">
        <v>5431000000</v>
      </c>
      <c r="B227" s="240">
        <v>0</v>
      </c>
      <c r="C227" s="240">
        <v>0</v>
      </c>
      <c r="D227" s="240">
        <v>0</v>
      </c>
      <c r="E227" s="240">
        <v>0</v>
      </c>
      <c r="F227" s="240">
        <v>0</v>
      </c>
      <c r="G227" s="240">
        <v>0</v>
      </c>
      <c r="H227" s="237" t="s">
        <v>1214</v>
      </c>
      <c r="I227" s="223">
        <f>VLOOKUP(A227,'HK 12.2.2014'!B:H,7,0)</f>
        <v>0</v>
      </c>
      <c r="J227" s="223">
        <f t="shared" si="3"/>
        <v>0</v>
      </c>
    </row>
    <row r="228" spans="1:10">
      <c r="A228" s="237">
        <v>5442000000</v>
      </c>
      <c r="B228" s="240">
        <v>0</v>
      </c>
      <c r="C228" s="240">
        <v>0</v>
      </c>
      <c r="D228" s="240">
        <v>0</v>
      </c>
      <c r="E228" s="240">
        <v>5221</v>
      </c>
      <c r="F228" s="240">
        <v>0</v>
      </c>
      <c r="G228" s="240">
        <v>5221</v>
      </c>
      <c r="H228" s="237" t="s">
        <v>1112</v>
      </c>
      <c r="I228" s="223">
        <f>VLOOKUP(A228,'HK 12.2.2014'!B:H,7,0)</f>
        <v>5221</v>
      </c>
      <c r="J228" s="223">
        <f t="shared" si="3"/>
        <v>0</v>
      </c>
    </row>
    <row r="229" spans="1:10">
      <c r="A229" s="237">
        <v>5443000000</v>
      </c>
      <c r="B229" s="240">
        <v>0</v>
      </c>
      <c r="C229" s="240">
        <v>-227.57</v>
      </c>
      <c r="D229" s="240">
        <v>0</v>
      </c>
      <c r="E229" s="240">
        <v>17859.25</v>
      </c>
      <c r="F229" s="240">
        <v>0</v>
      </c>
      <c r="G229" s="240">
        <v>17859.25</v>
      </c>
      <c r="H229" s="237" t="s">
        <v>1113</v>
      </c>
      <c r="I229" s="223">
        <f>VLOOKUP(A229,'HK 12.2.2014'!B:H,7,0)</f>
        <v>17859.25</v>
      </c>
      <c r="J229" s="223">
        <f t="shared" si="3"/>
        <v>0</v>
      </c>
    </row>
    <row r="230" spans="1:10">
      <c r="A230" s="237">
        <v>5444000000</v>
      </c>
      <c r="B230" s="240">
        <v>0</v>
      </c>
      <c r="C230" s="240">
        <v>0</v>
      </c>
      <c r="D230" s="240">
        <v>0</v>
      </c>
      <c r="E230" s="240">
        <v>1273.97</v>
      </c>
      <c r="F230" s="240">
        <v>0</v>
      </c>
      <c r="G230" s="240">
        <v>1273.97</v>
      </c>
      <c r="H230" s="237" t="s">
        <v>1114</v>
      </c>
      <c r="I230" s="223">
        <f>VLOOKUP(A230,'HK 12.2.2014'!B:H,7,0)</f>
        <v>1273.97</v>
      </c>
      <c r="J230" s="223">
        <f t="shared" si="3"/>
        <v>0</v>
      </c>
    </row>
    <row r="231" spans="1:10">
      <c r="A231" s="237">
        <v>5445000000</v>
      </c>
      <c r="B231" s="240">
        <v>0</v>
      </c>
      <c r="C231" s="240">
        <v>1198.79</v>
      </c>
      <c r="D231" s="240">
        <v>0</v>
      </c>
      <c r="E231" s="240">
        <v>3163.42</v>
      </c>
      <c r="F231" s="240">
        <v>0</v>
      </c>
      <c r="G231" s="240">
        <v>3163.42</v>
      </c>
      <c r="H231" s="237" t="s">
        <v>1115</v>
      </c>
      <c r="I231" s="223">
        <f>VLOOKUP(A231,'HK 12.2.2014'!B:H,7,0)</f>
        <v>3163.42</v>
      </c>
      <c r="J231" s="223">
        <f t="shared" si="3"/>
        <v>0</v>
      </c>
    </row>
    <row r="232" spans="1:10">
      <c r="A232" s="237">
        <v>5461000000</v>
      </c>
      <c r="B232" s="240">
        <v>0</v>
      </c>
      <c r="C232" s="240">
        <v>38.03</v>
      </c>
      <c r="D232" s="240">
        <v>0</v>
      </c>
      <c r="E232" s="240">
        <v>38.03</v>
      </c>
      <c r="F232" s="240">
        <v>0</v>
      </c>
      <c r="G232" s="240">
        <v>38.03</v>
      </c>
      <c r="H232" s="237" t="s">
        <v>1215</v>
      </c>
      <c r="I232" s="223">
        <f>VLOOKUP(A232,'HK 12.2.2014'!B:H,7,0)</f>
        <v>38.03</v>
      </c>
      <c r="J232" s="223">
        <f t="shared" si="3"/>
        <v>0</v>
      </c>
    </row>
    <row r="233" spans="1:10">
      <c r="A233" s="237">
        <v>5471000000</v>
      </c>
      <c r="B233" s="240">
        <v>0</v>
      </c>
      <c r="C233" s="240">
        <v>100</v>
      </c>
      <c r="D233" s="240">
        <v>0</v>
      </c>
      <c r="E233" s="240">
        <v>300</v>
      </c>
      <c r="F233" s="240">
        <v>0</v>
      </c>
      <c r="G233" s="240">
        <v>300</v>
      </c>
      <c r="H233" s="237" t="s">
        <v>1116</v>
      </c>
      <c r="I233" s="223">
        <f>VLOOKUP(A233,'HK 12.2.2014'!B:H,7,0)</f>
        <v>300</v>
      </c>
      <c r="J233" s="223">
        <f t="shared" si="3"/>
        <v>0</v>
      </c>
    </row>
    <row r="234" spans="1:10">
      <c r="A234" s="237">
        <v>5491000000</v>
      </c>
      <c r="B234" s="240">
        <v>0</v>
      </c>
      <c r="C234" s="240">
        <v>20.92</v>
      </c>
      <c r="D234" s="240">
        <v>0</v>
      </c>
      <c r="E234" s="240">
        <v>292.82</v>
      </c>
      <c r="F234" s="240">
        <v>0</v>
      </c>
      <c r="G234" s="240">
        <v>292.82</v>
      </c>
      <c r="H234" s="237" t="s">
        <v>1117</v>
      </c>
      <c r="I234" s="223">
        <f>VLOOKUP(A234,'HK 12.2.2014'!B:H,7,0)</f>
        <v>292.82</v>
      </c>
      <c r="J234" s="223">
        <f t="shared" si="3"/>
        <v>0</v>
      </c>
    </row>
    <row r="235" spans="1:10">
      <c r="A235" s="237">
        <v>5492000000</v>
      </c>
      <c r="B235" s="240">
        <v>0</v>
      </c>
      <c r="C235" s="240">
        <v>0</v>
      </c>
      <c r="D235" s="240">
        <v>0</v>
      </c>
      <c r="E235" s="240">
        <v>9020.1200000000008</v>
      </c>
      <c r="F235" s="240">
        <v>0</v>
      </c>
      <c r="G235" s="240">
        <v>9020.1200000000008</v>
      </c>
      <c r="H235" s="237" t="s">
        <v>1118</v>
      </c>
      <c r="I235" s="223">
        <f>VLOOKUP(A235,'HK 12.2.2014'!B:H,7,0)</f>
        <v>9020.1200000000008</v>
      </c>
      <c r="J235" s="223">
        <f t="shared" si="3"/>
        <v>0</v>
      </c>
    </row>
    <row r="236" spans="1:10">
      <c r="A236" s="237">
        <v>5495000000</v>
      </c>
      <c r="B236" s="240">
        <v>0</v>
      </c>
      <c r="C236" s="240">
        <v>0.71</v>
      </c>
      <c r="D236" s="240">
        <v>0</v>
      </c>
      <c r="E236" s="240">
        <v>2.29</v>
      </c>
      <c r="F236" s="240">
        <v>0</v>
      </c>
      <c r="G236" s="240">
        <v>2.29</v>
      </c>
      <c r="H236" s="237" t="s">
        <v>1119</v>
      </c>
      <c r="I236" s="223">
        <f>VLOOKUP(A236,'HK 12.2.2014'!B:H,7,0)</f>
        <v>2.29</v>
      </c>
      <c r="J236" s="223">
        <f t="shared" si="3"/>
        <v>0</v>
      </c>
    </row>
    <row r="237" spans="1:10">
      <c r="A237" s="237">
        <v>5497000000</v>
      </c>
      <c r="B237" s="240">
        <v>0</v>
      </c>
      <c r="C237" s="240">
        <v>0</v>
      </c>
      <c r="D237" s="240">
        <v>0</v>
      </c>
      <c r="E237" s="240">
        <v>1478.03</v>
      </c>
      <c r="F237" s="240">
        <v>0</v>
      </c>
      <c r="G237" s="240">
        <v>1478.03</v>
      </c>
      <c r="H237" s="237" t="s">
        <v>1120</v>
      </c>
      <c r="I237" s="223">
        <f>VLOOKUP(A237,'HK 12.2.2014'!B:H,7,0)</f>
        <v>1478.03</v>
      </c>
      <c r="J237" s="223">
        <f t="shared" si="3"/>
        <v>0</v>
      </c>
    </row>
    <row r="238" spans="1:10">
      <c r="A238" s="237">
        <v>5498000000</v>
      </c>
      <c r="B238" s="240">
        <v>0</v>
      </c>
      <c r="C238" s="240">
        <v>670.3</v>
      </c>
      <c r="D238" s="240">
        <v>0</v>
      </c>
      <c r="E238" s="240">
        <v>670.3</v>
      </c>
      <c r="F238" s="240">
        <v>0</v>
      </c>
      <c r="G238" s="240">
        <v>670.3</v>
      </c>
      <c r="H238" s="237" t="s">
        <v>1121</v>
      </c>
      <c r="I238" s="223">
        <f>VLOOKUP(A238,'HK 12.2.2014'!B:H,7,0)</f>
        <v>670.3</v>
      </c>
      <c r="J238" s="223">
        <f t="shared" si="3"/>
        <v>0</v>
      </c>
    </row>
    <row r="239" spans="1:10">
      <c r="A239" s="237">
        <v>5499100000</v>
      </c>
      <c r="B239" s="240">
        <v>0</v>
      </c>
      <c r="C239" s="240">
        <v>0.2</v>
      </c>
      <c r="D239" s="240">
        <v>0</v>
      </c>
      <c r="E239" s="240">
        <v>573.92999999999995</v>
      </c>
      <c r="F239" s="240">
        <v>0</v>
      </c>
      <c r="G239" s="240">
        <v>573.92999999999995</v>
      </c>
      <c r="H239" s="237" t="s">
        <v>1122</v>
      </c>
      <c r="I239" s="223">
        <f>VLOOKUP(A239,'HK 12.2.2014'!B:H,7,0)</f>
        <v>573.92999999999995</v>
      </c>
      <c r="J239" s="223">
        <f t="shared" si="3"/>
        <v>0</v>
      </c>
    </row>
    <row r="240" spans="1:10">
      <c r="A240" s="237">
        <v>5499200000</v>
      </c>
      <c r="B240" s="240">
        <v>0</v>
      </c>
      <c r="C240" s="240">
        <v>136.75</v>
      </c>
      <c r="D240" s="240">
        <v>0</v>
      </c>
      <c r="E240" s="240">
        <v>6431.38</v>
      </c>
      <c r="F240" s="240">
        <v>0</v>
      </c>
      <c r="G240" s="240">
        <v>6431.38</v>
      </c>
      <c r="H240" s="237" t="s">
        <v>1123</v>
      </c>
      <c r="I240" s="223">
        <f>VLOOKUP(A240,'HK 12.2.2014'!B:H,7,0)</f>
        <v>6431.38</v>
      </c>
      <c r="J240" s="223">
        <f t="shared" si="3"/>
        <v>0</v>
      </c>
    </row>
    <row r="241" spans="1:10">
      <c r="A241" s="237">
        <v>5499300000</v>
      </c>
      <c r="B241" s="240">
        <v>0</v>
      </c>
      <c r="C241" s="240">
        <v>8.5</v>
      </c>
      <c r="D241" s="240">
        <v>0</v>
      </c>
      <c r="E241" s="240">
        <v>1081.58</v>
      </c>
      <c r="F241" s="240">
        <v>0</v>
      </c>
      <c r="G241" s="240">
        <v>1081.58</v>
      </c>
      <c r="H241" s="237" t="s">
        <v>1124</v>
      </c>
      <c r="I241" s="223">
        <f>VLOOKUP(A241,'HK 12.2.2014'!B:H,7,0)</f>
        <v>1081.58</v>
      </c>
      <c r="J241" s="223">
        <f t="shared" si="3"/>
        <v>0</v>
      </c>
    </row>
    <row r="242" spans="1:10">
      <c r="A242" s="237">
        <v>5499400000</v>
      </c>
      <c r="B242" s="240">
        <v>0</v>
      </c>
      <c r="C242" s="240">
        <v>101.81</v>
      </c>
      <c r="D242" s="240">
        <v>0</v>
      </c>
      <c r="E242" s="240">
        <v>1663.81</v>
      </c>
      <c r="F242" s="240">
        <v>0</v>
      </c>
      <c r="G242" s="240">
        <v>1663.81</v>
      </c>
      <c r="H242" s="237" t="s">
        <v>1125</v>
      </c>
      <c r="I242" s="223">
        <f>VLOOKUP(A242,'HK 12.2.2014'!B:H,7,0)</f>
        <v>1663.81</v>
      </c>
      <c r="J242" s="223">
        <f t="shared" si="3"/>
        <v>0</v>
      </c>
    </row>
    <row r="243" spans="1:10">
      <c r="A243" s="237">
        <v>5499700000</v>
      </c>
      <c r="B243" s="240">
        <v>0</v>
      </c>
      <c r="C243" s="240">
        <v>-6959.21</v>
      </c>
      <c r="D243" s="240">
        <v>0</v>
      </c>
      <c r="E243" s="240">
        <v>-6959.21</v>
      </c>
      <c r="F243" s="240">
        <v>0</v>
      </c>
      <c r="G243" s="240">
        <v>-6959.21</v>
      </c>
      <c r="H243" s="237" t="s">
        <v>1126</v>
      </c>
      <c r="I243" s="223">
        <f>VLOOKUP(A243,'HK 12.2.2014'!B:H,7,0)</f>
        <v>-6959.21</v>
      </c>
      <c r="J243" s="223">
        <f t="shared" si="3"/>
        <v>0</v>
      </c>
    </row>
    <row r="244" spans="1:10">
      <c r="A244" s="237">
        <v>5511100000</v>
      </c>
      <c r="B244" s="240">
        <v>0</v>
      </c>
      <c r="C244" s="240">
        <v>5021.93</v>
      </c>
      <c r="D244" s="240">
        <v>0</v>
      </c>
      <c r="E244" s="240">
        <v>45731.31</v>
      </c>
      <c r="F244" s="240">
        <v>0</v>
      </c>
      <c r="G244" s="240">
        <v>45731.31</v>
      </c>
      <c r="H244" s="237" t="s">
        <v>1127</v>
      </c>
      <c r="I244" s="223">
        <f>VLOOKUP(A244,'HK 12.2.2014'!B:H,7,0)</f>
        <v>45731.31</v>
      </c>
      <c r="J244" s="223">
        <f t="shared" si="3"/>
        <v>0</v>
      </c>
    </row>
    <row r="245" spans="1:10">
      <c r="A245" s="237">
        <v>5511200000</v>
      </c>
      <c r="B245" s="240">
        <v>0</v>
      </c>
      <c r="C245" s="240">
        <v>3913.67</v>
      </c>
      <c r="D245" s="240">
        <v>0</v>
      </c>
      <c r="E245" s="240">
        <v>25560.73</v>
      </c>
      <c r="F245" s="240">
        <v>0</v>
      </c>
      <c r="G245" s="240">
        <v>25560.73</v>
      </c>
      <c r="H245" s="237" t="s">
        <v>1128</v>
      </c>
      <c r="I245" s="223">
        <f>VLOOKUP(A245,'HK 12.2.2014'!B:H,7,0)</f>
        <v>25594.09</v>
      </c>
      <c r="J245" s="223">
        <f t="shared" si="3"/>
        <v>33.360000000000582</v>
      </c>
    </row>
    <row r="246" spans="1:10">
      <c r="A246" s="237">
        <v>5582000000</v>
      </c>
      <c r="B246" s="240">
        <v>0</v>
      </c>
      <c r="C246" s="240">
        <v>-29036</v>
      </c>
      <c r="D246" s="240">
        <v>0</v>
      </c>
      <c r="E246" s="240">
        <v>-29036</v>
      </c>
      <c r="F246" s="240">
        <v>0</v>
      </c>
      <c r="G246" s="240">
        <v>-29036</v>
      </c>
      <c r="H246" s="237" t="s">
        <v>1129</v>
      </c>
      <c r="I246" s="223">
        <f>VLOOKUP(A246,'HK 12.2.2014'!B:H,7,0)</f>
        <v>-29036</v>
      </c>
      <c r="J246" s="223">
        <f t="shared" si="3"/>
        <v>0</v>
      </c>
    </row>
    <row r="247" spans="1:10">
      <c r="A247" s="237">
        <v>5621000000</v>
      </c>
      <c r="B247" s="240">
        <v>0</v>
      </c>
      <c r="C247" s="240">
        <v>0</v>
      </c>
      <c r="D247" s="240">
        <v>0</v>
      </c>
      <c r="E247" s="240">
        <v>534.33000000000004</v>
      </c>
      <c r="F247" s="240">
        <v>0</v>
      </c>
      <c r="G247" s="240">
        <v>534.33000000000004</v>
      </c>
      <c r="H247" s="237" t="s">
        <v>1130</v>
      </c>
      <c r="I247" s="223">
        <f>VLOOKUP(A247,'HK 12.2.2014'!B:H,7,0)</f>
        <v>534.33000000000004</v>
      </c>
      <c r="J247" s="223">
        <f t="shared" si="3"/>
        <v>0</v>
      </c>
    </row>
    <row r="248" spans="1:10">
      <c r="A248" s="241">
        <v>5911000000</v>
      </c>
      <c r="B248" s="242">
        <v>0</v>
      </c>
      <c r="C248" s="242">
        <v>27121.9</v>
      </c>
      <c r="D248" s="242">
        <v>0</v>
      </c>
      <c r="E248" s="242">
        <v>27121.9</v>
      </c>
      <c r="F248" s="242">
        <v>0</v>
      </c>
      <c r="G248" s="242">
        <v>27121.9</v>
      </c>
      <c r="H248" s="241" t="s">
        <v>1223</v>
      </c>
      <c r="I248" s="243">
        <v>0</v>
      </c>
      <c r="J248" s="223">
        <f t="shared" si="3"/>
        <v>-27121.9</v>
      </c>
    </row>
    <row r="249" spans="1:10">
      <c r="A249" s="237">
        <v>5913000000</v>
      </c>
      <c r="B249" s="240">
        <v>0</v>
      </c>
      <c r="C249" s="240">
        <v>0</v>
      </c>
      <c r="D249" s="240">
        <v>0</v>
      </c>
      <c r="E249" s="240">
        <v>0.92</v>
      </c>
      <c r="F249" s="240">
        <v>0</v>
      </c>
      <c r="G249" s="240">
        <v>0.92</v>
      </c>
      <c r="H249" s="237" t="s">
        <v>1131</v>
      </c>
      <c r="I249" s="223">
        <f>VLOOKUP(A249,'HK 12.2.2014'!B:H,7,0)</f>
        <v>0.92</v>
      </c>
      <c r="J249" s="223">
        <f t="shared" si="3"/>
        <v>0</v>
      </c>
    </row>
    <row r="250" spans="1:10">
      <c r="A250" s="237">
        <v>6021110000</v>
      </c>
      <c r="B250" s="240">
        <v>0</v>
      </c>
      <c r="C250" s="240">
        <v>0</v>
      </c>
      <c r="D250" s="240">
        <v>1157.76</v>
      </c>
      <c r="E250" s="240">
        <v>0</v>
      </c>
      <c r="F250" s="240">
        <v>15684.71</v>
      </c>
      <c r="G250" s="240">
        <v>-15684.71</v>
      </c>
      <c r="H250" s="237" t="s">
        <v>1132</v>
      </c>
      <c r="I250" s="223">
        <f>VLOOKUP(A250,'HK 12.2.2014'!B:H,7,0)</f>
        <v>-15684.71</v>
      </c>
      <c r="J250" s="223">
        <f t="shared" si="3"/>
        <v>0</v>
      </c>
    </row>
    <row r="251" spans="1:10">
      <c r="A251" s="237">
        <v>6021120000</v>
      </c>
      <c r="B251" s="240">
        <v>0</v>
      </c>
      <c r="C251" s="240">
        <v>0</v>
      </c>
      <c r="D251" s="240">
        <v>0</v>
      </c>
      <c r="E251" s="240">
        <v>0</v>
      </c>
      <c r="F251" s="240">
        <v>29974.98</v>
      </c>
      <c r="G251" s="240">
        <v>-29974.98</v>
      </c>
      <c r="H251" s="237" t="s">
        <v>1133</v>
      </c>
      <c r="I251" s="223">
        <f>VLOOKUP(A251,'HK 12.2.2014'!B:H,7,0)</f>
        <v>-29974.98</v>
      </c>
      <c r="J251" s="223">
        <f t="shared" si="3"/>
        <v>0</v>
      </c>
    </row>
    <row r="252" spans="1:10">
      <c r="A252" s="237">
        <v>6021220000</v>
      </c>
      <c r="B252" s="240">
        <v>0</v>
      </c>
      <c r="C252" s="240">
        <v>0</v>
      </c>
      <c r="D252" s="240">
        <v>0</v>
      </c>
      <c r="E252" s="240">
        <v>0</v>
      </c>
      <c r="F252" s="240">
        <v>940.49</v>
      </c>
      <c r="G252" s="240">
        <v>-940.49</v>
      </c>
      <c r="H252" s="237" t="s">
        <v>1134</v>
      </c>
      <c r="I252" s="223">
        <f>VLOOKUP(A252,'HK 12.2.2014'!B:H,7,0)</f>
        <v>-940.49</v>
      </c>
      <c r="J252" s="223">
        <f t="shared" si="3"/>
        <v>0</v>
      </c>
    </row>
    <row r="253" spans="1:10">
      <c r="A253" s="237">
        <v>6021240000</v>
      </c>
      <c r="B253" s="240">
        <v>0</v>
      </c>
      <c r="C253" s="240">
        <v>0</v>
      </c>
      <c r="D253" s="240">
        <v>0</v>
      </c>
      <c r="E253" s="240">
        <v>0</v>
      </c>
      <c r="F253" s="240">
        <v>600</v>
      </c>
      <c r="G253" s="240">
        <v>-600</v>
      </c>
      <c r="H253" s="237" t="s">
        <v>1135</v>
      </c>
      <c r="I253" s="223">
        <f>VLOOKUP(A253,'HK 12.2.2014'!B:H,7,0)</f>
        <v>-600</v>
      </c>
      <c r="J253" s="223">
        <f t="shared" si="3"/>
        <v>0</v>
      </c>
    </row>
    <row r="254" spans="1:10">
      <c r="A254" s="237">
        <v>6021260000</v>
      </c>
      <c r="B254" s="240">
        <v>0</v>
      </c>
      <c r="C254" s="240">
        <v>0</v>
      </c>
      <c r="D254" s="240">
        <v>0</v>
      </c>
      <c r="E254" s="240">
        <v>0</v>
      </c>
      <c r="F254" s="240">
        <v>0</v>
      </c>
      <c r="G254" s="240">
        <v>0</v>
      </c>
      <c r="H254" s="237" t="s">
        <v>1136</v>
      </c>
      <c r="I254" s="223">
        <f>VLOOKUP(A254,'HK 12.2.2014'!B:H,7,0)</f>
        <v>0</v>
      </c>
      <c r="J254" s="223">
        <f t="shared" si="3"/>
        <v>0</v>
      </c>
    </row>
    <row r="255" spans="1:10">
      <c r="A255" s="237">
        <v>6021280000</v>
      </c>
      <c r="B255" s="240">
        <v>0</v>
      </c>
      <c r="C255" s="240">
        <v>0</v>
      </c>
      <c r="D255" s="240">
        <v>0</v>
      </c>
      <c r="E255" s="240">
        <v>0</v>
      </c>
      <c r="F255" s="240">
        <v>55.22</v>
      </c>
      <c r="G255" s="240">
        <v>-55.22</v>
      </c>
      <c r="H255" s="237" t="s">
        <v>1137</v>
      </c>
      <c r="I255" s="223">
        <f>VLOOKUP(A255,'HK 12.2.2014'!B:H,7,0)</f>
        <v>-55.22</v>
      </c>
      <c r="J255" s="223">
        <f t="shared" si="3"/>
        <v>0</v>
      </c>
    </row>
    <row r="256" spans="1:10">
      <c r="A256" s="237">
        <v>6021320000</v>
      </c>
      <c r="B256" s="240">
        <v>0</v>
      </c>
      <c r="C256" s="240">
        <v>0</v>
      </c>
      <c r="D256" s="240">
        <v>0</v>
      </c>
      <c r="E256" s="240">
        <v>0</v>
      </c>
      <c r="F256" s="240">
        <v>509.93</v>
      </c>
      <c r="G256" s="240">
        <v>-509.93</v>
      </c>
      <c r="H256" s="237" t="s">
        <v>1138</v>
      </c>
      <c r="I256" s="223">
        <f>VLOOKUP(A256,'HK 12.2.2014'!B:H,7,0)</f>
        <v>-509.93</v>
      </c>
      <c r="J256" s="223">
        <f t="shared" si="3"/>
        <v>0</v>
      </c>
    </row>
    <row r="257" spans="1:10">
      <c r="A257" s="237">
        <v>6021520000</v>
      </c>
      <c r="B257" s="240">
        <v>0</v>
      </c>
      <c r="C257" s="240">
        <v>0</v>
      </c>
      <c r="D257" s="240">
        <v>126.87</v>
      </c>
      <c r="E257" s="240">
        <v>119.25</v>
      </c>
      <c r="F257" s="240">
        <v>3075.11</v>
      </c>
      <c r="G257" s="240">
        <v>-2955.86</v>
      </c>
      <c r="H257" s="237" t="s">
        <v>1139</v>
      </c>
      <c r="I257" s="223">
        <f>VLOOKUP(A257,'HK 12.2.2014'!B:H,7,0)</f>
        <v>-2955.86</v>
      </c>
      <c r="J257" s="223">
        <f t="shared" si="3"/>
        <v>0</v>
      </c>
    </row>
    <row r="258" spans="1:10">
      <c r="A258" s="237">
        <v>6021620000</v>
      </c>
      <c r="B258" s="240">
        <v>0</v>
      </c>
      <c r="C258" s="240">
        <v>0</v>
      </c>
      <c r="D258" s="240">
        <v>0</v>
      </c>
      <c r="E258" s="240">
        <v>0</v>
      </c>
      <c r="F258" s="240">
        <v>43</v>
      </c>
      <c r="G258" s="240">
        <v>-43</v>
      </c>
      <c r="H258" s="237" t="s">
        <v>1140</v>
      </c>
      <c r="I258" s="223">
        <f>VLOOKUP(A258,'HK 12.2.2014'!B:H,7,0)</f>
        <v>-43</v>
      </c>
      <c r="J258" s="223">
        <f t="shared" si="3"/>
        <v>0</v>
      </c>
    </row>
    <row r="259" spans="1:10">
      <c r="A259" s="237">
        <v>6021810000</v>
      </c>
      <c r="B259" s="240">
        <v>0</v>
      </c>
      <c r="C259" s="240">
        <v>0</v>
      </c>
      <c r="D259" s="240">
        <v>210.97</v>
      </c>
      <c r="E259" s="240">
        <v>0</v>
      </c>
      <c r="F259" s="240">
        <v>1566.91</v>
      </c>
      <c r="G259" s="240">
        <v>-1566.91</v>
      </c>
      <c r="H259" s="237" t="s">
        <v>1141</v>
      </c>
      <c r="I259" s="223">
        <f>VLOOKUP(A259,'HK 12.2.2014'!B:H,7,0)</f>
        <v>-1566.91</v>
      </c>
      <c r="J259" s="223">
        <f t="shared" ref="J259:J315" si="4">+I259-G259</f>
        <v>0</v>
      </c>
    </row>
    <row r="260" spans="1:10">
      <c r="A260" s="237">
        <v>6021920000</v>
      </c>
      <c r="B260" s="240">
        <v>0</v>
      </c>
      <c r="C260" s="240">
        <v>0</v>
      </c>
      <c r="D260" s="240">
        <v>-1404.84</v>
      </c>
      <c r="E260" s="240">
        <v>0</v>
      </c>
      <c r="F260" s="240">
        <v>25281.81</v>
      </c>
      <c r="G260" s="240">
        <v>-25281.81</v>
      </c>
      <c r="H260" s="237" t="s">
        <v>1142</v>
      </c>
      <c r="I260" s="223">
        <f>VLOOKUP(A260,'HK 12.2.2014'!B:H,7,0)</f>
        <v>-25281.81</v>
      </c>
      <c r="J260" s="223">
        <f t="shared" si="4"/>
        <v>0</v>
      </c>
    </row>
    <row r="261" spans="1:10">
      <c r="A261" s="237">
        <v>6021940000</v>
      </c>
      <c r="B261" s="240">
        <v>0</v>
      </c>
      <c r="C261" s="240">
        <v>0</v>
      </c>
      <c r="D261" s="240">
        <v>3345.91</v>
      </c>
      <c r="E261" s="240">
        <v>0</v>
      </c>
      <c r="F261" s="240">
        <v>18074.54</v>
      </c>
      <c r="G261" s="240">
        <v>-18074.54</v>
      </c>
      <c r="H261" s="237" t="s">
        <v>1143</v>
      </c>
      <c r="I261" s="223">
        <f>VLOOKUP(A261,'HK 12.2.2014'!B:H,7,0)</f>
        <v>-18074.54</v>
      </c>
      <c r="J261" s="223">
        <f t="shared" si="4"/>
        <v>0</v>
      </c>
    </row>
    <row r="262" spans="1:10">
      <c r="A262" s="237">
        <v>6021950000</v>
      </c>
      <c r="B262" s="240">
        <v>0</v>
      </c>
      <c r="C262" s="240">
        <v>0</v>
      </c>
      <c r="D262" s="240">
        <v>0</v>
      </c>
      <c r="E262" s="240">
        <v>0</v>
      </c>
      <c r="F262" s="240">
        <v>1.67</v>
      </c>
      <c r="G262" s="240">
        <v>-1.67</v>
      </c>
      <c r="H262" s="237" t="s">
        <v>1144</v>
      </c>
      <c r="I262" s="223">
        <f>VLOOKUP(A262,'HK 12.2.2014'!B:H,7,0)</f>
        <v>-1.67</v>
      </c>
      <c r="J262" s="223">
        <f t="shared" si="4"/>
        <v>0</v>
      </c>
    </row>
    <row r="263" spans="1:10">
      <c r="A263" s="237">
        <v>6021960000</v>
      </c>
      <c r="B263" s="240">
        <v>0</v>
      </c>
      <c r="C263" s="240">
        <v>0</v>
      </c>
      <c r="D263" s="240">
        <v>2694</v>
      </c>
      <c r="E263" s="240">
        <v>0</v>
      </c>
      <c r="F263" s="240">
        <v>15140.64</v>
      </c>
      <c r="G263" s="240">
        <v>-15140.64</v>
      </c>
      <c r="H263" s="237" t="s">
        <v>1145</v>
      </c>
      <c r="I263" s="223">
        <f>VLOOKUP(A263,'HK 12.2.2014'!B:H,7,0)</f>
        <v>-15140.64</v>
      </c>
      <c r="J263" s="223">
        <f t="shared" si="4"/>
        <v>0</v>
      </c>
    </row>
    <row r="264" spans="1:10">
      <c r="A264" s="237">
        <v>6021990000</v>
      </c>
      <c r="B264" s="240">
        <v>0</v>
      </c>
      <c r="C264" s="240">
        <v>0</v>
      </c>
      <c r="D264" s="240">
        <v>309</v>
      </c>
      <c r="E264" s="240">
        <v>0</v>
      </c>
      <c r="F264" s="240">
        <v>9443.15</v>
      </c>
      <c r="G264" s="240">
        <v>-9443.15</v>
      </c>
      <c r="H264" s="237" t="s">
        <v>1146</v>
      </c>
      <c r="I264" s="223">
        <f>VLOOKUP(A264,'HK 12.2.2014'!B:H,7,0)</f>
        <v>-11023.99</v>
      </c>
      <c r="J264" s="223">
        <f t="shared" si="4"/>
        <v>-1580.8400000000001</v>
      </c>
    </row>
    <row r="265" spans="1:10">
      <c r="A265" s="237">
        <v>6022000000</v>
      </c>
      <c r="B265" s="240">
        <v>0</v>
      </c>
      <c r="C265" s="240">
        <v>0</v>
      </c>
      <c r="D265" s="240">
        <v>18975</v>
      </c>
      <c r="E265" s="240">
        <v>0</v>
      </c>
      <c r="F265" s="240">
        <v>227700</v>
      </c>
      <c r="G265" s="240">
        <v>-227700</v>
      </c>
      <c r="H265" s="237" t="s">
        <v>1147</v>
      </c>
      <c r="I265" s="223">
        <f>VLOOKUP(A265,'HK 12.2.2014'!B:H,7,0)</f>
        <v>-227700</v>
      </c>
      <c r="J265" s="223">
        <f t="shared" si="4"/>
        <v>0</v>
      </c>
    </row>
    <row r="266" spans="1:10">
      <c r="A266" s="237">
        <v>6022010000</v>
      </c>
      <c r="B266" s="240">
        <v>0</v>
      </c>
      <c r="C266" s="240">
        <v>0</v>
      </c>
      <c r="D266" s="240">
        <v>1503.1</v>
      </c>
      <c r="E266" s="240">
        <v>0</v>
      </c>
      <c r="F266" s="240">
        <v>3367.42</v>
      </c>
      <c r="G266" s="240">
        <v>-3367.42</v>
      </c>
      <c r="H266" s="237" t="s">
        <v>1148</v>
      </c>
      <c r="I266" s="223">
        <f>VLOOKUP(A266,'HK 12.2.2014'!B:H,7,0)</f>
        <v>-3367.42</v>
      </c>
      <c r="J266" s="223">
        <f t="shared" si="4"/>
        <v>0</v>
      </c>
    </row>
    <row r="267" spans="1:10">
      <c r="A267" s="237">
        <v>6022100000</v>
      </c>
      <c r="B267" s="240">
        <v>0</v>
      </c>
      <c r="C267" s="240">
        <v>0</v>
      </c>
      <c r="D267" s="240">
        <v>50</v>
      </c>
      <c r="E267" s="240">
        <v>0</v>
      </c>
      <c r="F267" s="240">
        <v>213.86</v>
      </c>
      <c r="G267" s="240">
        <v>-213.86</v>
      </c>
      <c r="H267" s="237" t="s">
        <v>1149</v>
      </c>
      <c r="I267" s="223">
        <f>VLOOKUP(A267,'HK 12.2.2014'!B:H,7,0)</f>
        <v>-213.86</v>
      </c>
      <c r="J267" s="223">
        <f t="shared" si="4"/>
        <v>0</v>
      </c>
    </row>
    <row r="268" spans="1:10">
      <c r="A268" s="237">
        <v>6022110000</v>
      </c>
      <c r="B268" s="240">
        <v>0</v>
      </c>
      <c r="C268" s="240">
        <v>0</v>
      </c>
      <c r="D268" s="240">
        <v>30</v>
      </c>
      <c r="E268" s="240">
        <v>0</v>
      </c>
      <c r="F268" s="240">
        <v>430.95</v>
      </c>
      <c r="G268" s="240">
        <v>-430.95</v>
      </c>
      <c r="H268" s="237" t="s">
        <v>1150</v>
      </c>
      <c r="I268" s="223">
        <f>VLOOKUP(A268,'HK 12.2.2014'!B:H,7,0)</f>
        <v>-430.95</v>
      </c>
      <c r="J268" s="223">
        <f t="shared" si="4"/>
        <v>0</v>
      </c>
    </row>
    <row r="269" spans="1:10">
      <c r="A269" s="237">
        <v>6022120000</v>
      </c>
      <c r="B269" s="240">
        <v>0</v>
      </c>
      <c r="C269" s="240">
        <v>0</v>
      </c>
      <c r="D269" s="240">
        <v>0</v>
      </c>
      <c r="E269" s="240">
        <v>0</v>
      </c>
      <c r="F269" s="240">
        <v>237.52</v>
      </c>
      <c r="G269" s="240">
        <v>-237.52</v>
      </c>
      <c r="H269" s="237" t="s">
        <v>1151</v>
      </c>
      <c r="I269" s="223">
        <f>VLOOKUP(A269,'HK 12.2.2014'!B:H,7,0)</f>
        <v>-237.52</v>
      </c>
      <c r="J269" s="223">
        <f t="shared" si="4"/>
        <v>0</v>
      </c>
    </row>
    <row r="270" spans="1:10">
      <c r="A270" s="237">
        <v>6022130000</v>
      </c>
      <c r="B270" s="240">
        <v>0</v>
      </c>
      <c r="C270" s="240">
        <v>0</v>
      </c>
      <c r="D270" s="240">
        <v>2282.06</v>
      </c>
      <c r="E270" s="240">
        <v>248.95</v>
      </c>
      <c r="F270" s="240">
        <v>18463.59</v>
      </c>
      <c r="G270" s="240">
        <v>-18214.64</v>
      </c>
      <c r="H270" s="237" t="s">
        <v>1152</v>
      </c>
      <c r="I270" s="223">
        <f>VLOOKUP(A270,'HK 12.2.2014'!B:H,7,0)</f>
        <v>-18214.64</v>
      </c>
      <c r="J270" s="223">
        <f t="shared" si="4"/>
        <v>0</v>
      </c>
    </row>
    <row r="271" spans="1:10">
      <c r="A271" s="237">
        <v>6022140000</v>
      </c>
      <c r="B271" s="240">
        <v>0</v>
      </c>
      <c r="C271" s="240">
        <v>0</v>
      </c>
      <c r="D271" s="240">
        <v>1243.75</v>
      </c>
      <c r="E271" s="240">
        <v>0</v>
      </c>
      <c r="F271" s="240">
        <v>13295.22</v>
      </c>
      <c r="G271" s="240">
        <v>-13295.22</v>
      </c>
      <c r="H271" s="237" t="s">
        <v>1153</v>
      </c>
      <c r="I271" s="223">
        <f>VLOOKUP(A271,'HK 12.2.2014'!B:H,7,0)</f>
        <v>-13295.22</v>
      </c>
      <c r="J271" s="223">
        <f t="shared" si="4"/>
        <v>0</v>
      </c>
    </row>
    <row r="272" spans="1:10">
      <c r="A272" s="237">
        <v>6022150000</v>
      </c>
      <c r="B272" s="240">
        <v>0</v>
      </c>
      <c r="C272" s="240">
        <v>0</v>
      </c>
      <c r="D272" s="240">
        <v>164.05</v>
      </c>
      <c r="E272" s="240">
        <v>0</v>
      </c>
      <c r="F272" s="240">
        <v>1992.79</v>
      </c>
      <c r="G272" s="240">
        <v>-1992.79</v>
      </c>
      <c r="H272" s="237" t="s">
        <v>1154</v>
      </c>
      <c r="I272" s="223">
        <f>VLOOKUP(A272,'HK 12.2.2014'!B:H,7,0)</f>
        <v>-1992.79</v>
      </c>
      <c r="J272" s="223">
        <f t="shared" si="4"/>
        <v>0</v>
      </c>
    </row>
    <row r="273" spans="1:10">
      <c r="A273" s="237">
        <v>6022160000</v>
      </c>
      <c r="B273" s="240">
        <v>0</v>
      </c>
      <c r="C273" s="240">
        <v>0</v>
      </c>
      <c r="D273" s="240">
        <v>950</v>
      </c>
      <c r="E273" s="240">
        <v>0</v>
      </c>
      <c r="F273" s="240">
        <v>13436.63</v>
      </c>
      <c r="G273" s="240">
        <v>-13436.63</v>
      </c>
      <c r="H273" s="237" t="s">
        <v>1155</v>
      </c>
      <c r="I273" s="223">
        <f>VLOOKUP(A273,'HK 12.2.2014'!B:H,7,0)</f>
        <v>-13436.63</v>
      </c>
      <c r="J273" s="223">
        <f t="shared" si="4"/>
        <v>0</v>
      </c>
    </row>
    <row r="274" spans="1:10">
      <c r="A274" s="237">
        <v>6022170000</v>
      </c>
      <c r="B274" s="240">
        <v>0</v>
      </c>
      <c r="C274" s="240">
        <v>0</v>
      </c>
      <c r="D274" s="240">
        <v>1356.67</v>
      </c>
      <c r="E274" s="240">
        <v>0</v>
      </c>
      <c r="F274" s="240">
        <v>13278.09</v>
      </c>
      <c r="G274" s="240">
        <v>-13278.09</v>
      </c>
      <c r="H274" s="237" t="s">
        <v>1156</v>
      </c>
      <c r="I274" s="223">
        <f>VLOOKUP(A274,'HK 12.2.2014'!B:H,7,0)</f>
        <v>-13278.09</v>
      </c>
      <c r="J274" s="223">
        <f t="shared" si="4"/>
        <v>0</v>
      </c>
    </row>
    <row r="275" spans="1:10">
      <c r="A275" s="237">
        <v>6022180000</v>
      </c>
      <c r="B275" s="240">
        <v>0</v>
      </c>
      <c r="C275" s="240">
        <v>0</v>
      </c>
      <c r="D275" s="240">
        <v>258.33999999999997</v>
      </c>
      <c r="E275" s="240">
        <v>0</v>
      </c>
      <c r="F275" s="240">
        <v>1566.71</v>
      </c>
      <c r="G275" s="240">
        <v>-1566.71</v>
      </c>
      <c r="H275" s="237" t="s">
        <v>1157</v>
      </c>
      <c r="I275" s="223">
        <f>VLOOKUP(A275,'HK 12.2.2014'!B:H,7,0)</f>
        <v>-1566.71</v>
      </c>
      <c r="J275" s="223">
        <f t="shared" si="4"/>
        <v>0</v>
      </c>
    </row>
    <row r="276" spans="1:10">
      <c r="A276" s="237">
        <v>6022190000</v>
      </c>
      <c r="B276" s="240">
        <v>0</v>
      </c>
      <c r="C276" s="240">
        <v>0</v>
      </c>
      <c r="D276" s="240">
        <v>0</v>
      </c>
      <c r="E276" s="240">
        <v>0</v>
      </c>
      <c r="F276" s="240">
        <v>424.32</v>
      </c>
      <c r="G276" s="240">
        <v>-424.32</v>
      </c>
      <c r="H276" s="237" t="s">
        <v>1158</v>
      </c>
      <c r="I276" s="223">
        <f>VLOOKUP(A276,'HK 12.2.2014'!B:H,7,0)</f>
        <v>-424.32</v>
      </c>
      <c r="J276" s="223">
        <f t="shared" si="4"/>
        <v>0</v>
      </c>
    </row>
    <row r="277" spans="1:10">
      <c r="A277" s="237">
        <v>6022200000</v>
      </c>
      <c r="B277" s="240">
        <v>0</v>
      </c>
      <c r="C277" s="240">
        <v>0</v>
      </c>
      <c r="D277" s="240">
        <v>137.5</v>
      </c>
      <c r="E277" s="240">
        <v>0</v>
      </c>
      <c r="F277" s="240">
        <v>3248.5</v>
      </c>
      <c r="G277" s="240">
        <v>-3248.5</v>
      </c>
      <c r="H277" s="237" t="s">
        <v>1159</v>
      </c>
      <c r="I277" s="223">
        <f>VLOOKUP(A277,'HK 12.2.2014'!B:H,7,0)</f>
        <v>-3248.5</v>
      </c>
      <c r="J277" s="223">
        <f t="shared" si="4"/>
        <v>0</v>
      </c>
    </row>
    <row r="278" spans="1:10">
      <c r="A278" s="237">
        <v>6022210000</v>
      </c>
      <c r="B278" s="240">
        <v>0</v>
      </c>
      <c r="C278" s="240">
        <v>0</v>
      </c>
      <c r="D278" s="240">
        <v>29.88</v>
      </c>
      <c r="E278" s="240">
        <v>0</v>
      </c>
      <c r="F278" s="240">
        <v>1033.1500000000001</v>
      </c>
      <c r="G278" s="240">
        <v>-1033.1500000000001</v>
      </c>
      <c r="H278" s="237" t="s">
        <v>1160</v>
      </c>
      <c r="I278" s="223">
        <f>VLOOKUP(A278,'HK 12.2.2014'!B:H,7,0)</f>
        <v>-1033.1500000000001</v>
      </c>
      <c r="J278" s="223">
        <f t="shared" si="4"/>
        <v>0</v>
      </c>
    </row>
    <row r="279" spans="1:10">
      <c r="A279" s="237">
        <v>6022230000</v>
      </c>
      <c r="B279" s="240">
        <v>0</v>
      </c>
      <c r="C279" s="240">
        <v>0</v>
      </c>
      <c r="D279" s="240">
        <v>480.2</v>
      </c>
      <c r="E279" s="240">
        <v>0</v>
      </c>
      <c r="F279" s="240">
        <v>2205</v>
      </c>
      <c r="G279" s="240">
        <v>-2205</v>
      </c>
      <c r="H279" s="237" t="s">
        <v>1161</v>
      </c>
      <c r="I279" s="223">
        <f>VLOOKUP(A279,'HK 12.2.2014'!B:H,7,0)</f>
        <v>-2205</v>
      </c>
      <c r="J279" s="223">
        <f t="shared" si="4"/>
        <v>0</v>
      </c>
    </row>
    <row r="280" spans="1:10">
      <c r="A280" s="237">
        <v>6022250000</v>
      </c>
      <c r="B280" s="240">
        <v>0</v>
      </c>
      <c r="C280" s="240">
        <v>0</v>
      </c>
      <c r="D280" s="240">
        <v>581.83000000000004</v>
      </c>
      <c r="E280" s="240">
        <v>0</v>
      </c>
      <c r="F280" s="240">
        <v>7706.28</v>
      </c>
      <c r="G280" s="240">
        <v>-7706.28</v>
      </c>
      <c r="H280" s="237" t="s">
        <v>1162</v>
      </c>
      <c r="I280" s="223">
        <f>VLOOKUP(A280,'HK 12.2.2014'!B:H,7,0)</f>
        <v>-7706.28</v>
      </c>
      <c r="J280" s="223">
        <f t="shared" si="4"/>
        <v>0</v>
      </c>
    </row>
    <row r="281" spans="1:10">
      <c r="A281" s="237">
        <v>6022260000</v>
      </c>
      <c r="B281" s="240">
        <v>0</v>
      </c>
      <c r="C281" s="240">
        <v>0</v>
      </c>
      <c r="D281" s="240">
        <v>104</v>
      </c>
      <c r="E281" s="240">
        <v>0</v>
      </c>
      <c r="F281" s="240">
        <v>364</v>
      </c>
      <c r="G281" s="240">
        <v>-364</v>
      </c>
      <c r="H281" s="237" t="s">
        <v>1163</v>
      </c>
      <c r="I281" s="223">
        <f>VLOOKUP(A281,'HK 12.2.2014'!B:H,7,0)</f>
        <v>-364</v>
      </c>
      <c r="J281" s="223">
        <f t="shared" si="4"/>
        <v>0</v>
      </c>
    </row>
    <row r="282" spans="1:10">
      <c r="A282" s="237">
        <v>6022270000</v>
      </c>
      <c r="B282" s="240">
        <v>0</v>
      </c>
      <c r="C282" s="240">
        <v>0</v>
      </c>
      <c r="D282" s="240">
        <v>170</v>
      </c>
      <c r="E282" s="240">
        <v>0</v>
      </c>
      <c r="F282" s="240">
        <v>3049.3</v>
      </c>
      <c r="G282" s="240">
        <v>-3049.3</v>
      </c>
      <c r="H282" s="237" t="s">
        <v>1164</v>
      </c>
      <c r="I282" s="223">
        <f>VLOOKUP(A282,'HK 12.2.2014'!B:H,7,0)</f>
        <v>-3049.3</v>
      </c>
      <c r="J282" s="223">
        <f t="shared" si="4"/>
        <v>0</v>
      </c>
    </row>
    <row r="283" spans="1:10">
      <c r="A283" s="237">
        <v>6022280000</v>
      </c>
      <c r="B283" s="240">
        <v>0</v>
      </c>
      <c r="C283" s="240">
        <v>0</v>
      </c>
      <c r="D283" s="240">
        <v>225.33</v>
      </c>
      <c r="E283" s="240">
        <v>0</v>
      </c>
      <c r="F283" s="240">
        <v>1375.5</v>
      </c>
      <c r="G283" s="240">
        <v>-1375.5</v>
      </c>
      <c r="H283" s="237" t="s">
        <v>1165</v>
      </c>
      <c r="I283" s="223">
        <f>VLOOKUP(A283,'HK 12.2.2014'!B:H,7,0)</f>
        <v>-1375.5</v>
      </c>
      <c r="J283" s="223">
        <f t="shared" si="4"/>
        <v>0</v>
      </c>
    </row>
    <row r="284" spans="1:10">
      <c r="A284" s="237">
        <v>6022290000</v>
      </c>
      <c r="B284" s="240">
        <v>0</v>
      </c>
      <c r="C284" s="240">
        <v>0</v>
      </c>
      <c r="D284" s="240">
        <v>22.85</v>
      </c>
      <c r="E284" s="240">
        <v>0</v>
      </c>
      <c r="F284" s="240">
        <v>430.72</v>
      </c>
      <c r="G284" s="240">
        <v>-430.72</v>
      </c>
      <c r="H284" s="237" t="s">
        <v>1166</v>
      </c>
      <c r="I284" s="223">
        <f>VLOOKUP(A284,'HK 12.2.2014'!B:H,7,0)</f>
        <v>-430.72</v>
      </c>
      <c r="J284" s="223">
        <f t="shared" si="4"/>
        <v>0</v>
      </c>
    </row>
    <row r="285" spans="1:10">
      <c r="A285" s="237">
        <v>6022300000</v>
      </c>
      <c r="B285" s="240">
        <v>0</v>
      </c>
      <c r="C285" s="240">
        <v>0</v>
      </c>
      <c r="D285" s="240">
        <v>875.91</v>
      </c>
      <c r="E285" s="240">
        <v>0</v>
      </c>
      <c r="F285" s="240">
        <v>1597.73</v>
      </c>
      <c r="G285" s="240">
        <v>-1597.73</v>
      </c>
      <c r="H285" s="237" t="s">
        <v>1167</v>
      </c>
      <c r="I285" s="223">
        <f>VLOOKUP(A285,'HK 12.2.2014'!B:H,7,0)</f>
        <v>-1597.73</v>
      </c>
      <c r="J285" s="223">
        <f t="shared" si="4"/>
        <v>0</v>
      </c>
    </row>
    <row r="286" spans="1:10">
      <c r="A286" s="237">
        <v>6022310000</v>
      </c>
      <c r="B286" s="240">
        <v>0</v>
      </c>
      <c r="C286" s="240">
        <v>0</v>
      </c>
      <c r="D286" s="240">
        <v>0</v>
      </c>
      <c r="E286" s="240">
        <v>0</v>
      </c>
      <c r="F286" s="240">
        <v>28.16</v>
      </c>
      <c r="G286" s="240">
        <v>-28.16</v>
      </c>
      <c r="H286" s="237" t="s">
        <v>1168</v>
      </c>
      <c r="I286" s="223">
        <f>VLOOKUP(A286,'HK 12.2.2014'!B:H,7,0)</f>
        <v>-28.16</v>
      </c>
      <c r="J286" s="223">
        <f t="shared" si="4"/>
        <v>0</v>
      </c>
    </row>
    <row r="287" spans="1:10">
      <c r="A287" s="237">
        <v>6023010000</v>
      </c>
      <c r="B287" s="240">
        <v>0</v>
      </c>
      <c r="C287" s="240">
        <v>0</v>
      </c>
      <c r="D287" s="240">
        <v>241370.1</v>
      </c>
      <c r="E287" s="240">
        <v>0</v>
      </c>
      <c r="F287" s="240">
        <v>3031611.83</v>
      </c>
      <c r="G287" s="240">
        <v>-3031611.83</v>
      </c>
      <c r="H287" s="237" t="s">
        <v>1169</v>
      </c>
      <c r="I287" s="223">
        <f>VLOOKUP(A287,'HK 12.2.2014'!B:H,7,0)</f>
        <v>-3019959.58</v>
      </c>
      <c r="J287" s="223">
        <f t="shared" si="4"/>
        <v>11652.25</v>
      </c>
    </row>
    <row r="288" spans="1:10">
      <c r="A288" s="237">
        <v>6023030000</v>
      </c>
      <c r="B288" s="240">
        <v>0</v>
      </c>
      <c r="C288" s="240">
        <v>0</v>
      </c>
      <c r="D288" s="240">
        <v>123645.56</v>
      </c>
      <c r="E288" s="240">
        <v>0</v>
      </c>
      <c r="F288" s="240">
        <v>1536886.02</v>
      </c>
      <c r="G288" s="240">
        <v>-1536886.02</v>
      </c>
      <c r="H288" s="237" t="s">
        <v>1170</v>
      </c>
      <c r="I288" s="223">
        <f>VLOOKUP(A288,'HK 12.2.2014'!B:H,7,0)</f>
        <v>-1534651.2</v>
      </c>
      <c r="J288" s="223">
        <f t="shared" si="4"/>
        <v>2234.8200000000652</v>
      </c>
    </row>
    <row r="289" spans="1:10">
      <c r="A289" s="237">
        <v>6023040000</v>
      </c>
      <c r="B289" s="240">
        <v>0</v>
      </c>
      <c r="C289" s="240">
        <v>0</v>
      </c>
      <c r="D289" s="240">
        <v>4781.63</v>
      </c>
      <c r="E289" s="240">
        <v>0</v>
      </c>
      <c r="F289" s="240">
        <v>221711.87</v>
      </c>
      <c r="G289" s="240">
        <v>-221711.87</v>
      </c>
      <c r="H289" s="237" t="s">
        <v>1171</v>
      </c>
      <c r="I289" s="223">
        <f>VLOOKUP(A289,'HK 12.2.2014'!B:H,7,0)</f>
        <v>-221711.87</v>
      </c>
      <c r="J289" s="223">
        <f t="shared" si="4"/>
        <v>0</v>
      </c>
    </row>
    <row r="290" spans="1:10">
      <c r="A290" s="237">
        <v>6023060000</v>
      </c>
      <c r="B290" s="240">
        <v>0</v>
      </c>
      <c r="C290" s="240">
        <v>0</v>
      </c>
      <c r="D290" s="240">
        <v>9038.58</v>
      </c>
      <c r="E290" s="240">
        <v>0</v>
      </c>
      <c r="F290" s="240">
        <v>127200.5</v>
      </c>
      <c r="G290" s="240">
        <v>-127200.5</v>
      </c>
      <c r="H290" s="237" t="s">
        <v>1172</v>
      </c>
      <c r="I290" s="223">
        <f>VLOOKUP(A290,'HK 12.2.2014'!B:H,7,0)</f>
        <v>-126650.07</v>
      </c>
      <c r="J290" s="223">
        <f t="shared" si="4"/>
        <v>550.42999999999302</v>
      </c>
    </row>
    <row r="291" spans="1:10">
      <c r="A291" s="237">
        <v>6023070000</v>
      </c>
      <c r="B291" s="240">
        <v>0</v>
      </c>
      <c r="C291" s="240">
        <v>0</v>
      </c>
      <c r="D291" s="240">
        <v>-2226.44</v>
      </c>
      <c r="E291" s="240">
        <v>0</v>
      </c>
      <c r="F291" s="240">
        <v>46943.65</v>
      </c>
      <c r="G291" s="240">
        <v>-46943.65</v>
      </c>
      <c r="H291" s="237" t="s">
        <v>1173</v>
      </c>
      <c r="I291" s="223">
        <f>VLOOKUP(A291,'HK 12.2.2014'!B:H,7,0)</f>
        <v>-46916.83</v>
      </c>
      <c r="J291" s="223">
        <f t="shared" si="4"/>
        <v>26.819999999999709</v>
      </c>
    </row>
    <row r="292" spans="1:10">
      <c r="A292" s="237">
        <v>6023080000</v>
      </c>
      <c r="B292" s="240">
        <v>0</v>
      </c>
      <c r="C292" s="240">
        <v>0</v>
      </c>
      <c r="D292" s="240">
        <v>21678.58</v>
      </c>
      <c r="E292" s="240">
        <v>0</v>
      </c>
      <c r="F292" s="240">
        <v>231106.03</v>
      </c>
      <c r="G292" s="240">
        <v>-231106.03</v>
      </c>
      <c r="H292" s="237" t="s">
        <v>1174</v>
      </c>
      <c r="I292" s="223">
        <f>VLOOKUP(A292,'HK 12.2.2014'!B:H,7,0)</f>
        <v>-222965.55</v>
      </c>
      <c r="J292" s="223">
        <f t="shared" si="4"/>
        <v>8140.4800000000105</v>
      </c>
    </row>
    <row r="293" spans="1:10">
      <c r="A293" s="237">
        <v>6023090000</v>
      </c>
      <c r="B293" s="240">
        <v>0</v>
      </c>
      <c r="C293" s="240">
        <v>0</v>
      </c>
      <c r="D293" s="240">
        <v>786.05</v>
      </c>
      <c r="E293" s="240">
        <v>0</v>
      </c>
      <c r="F293" s="240">
        <v>27148.5</v>
      </c>
      <c r="G293" s="240">
        <v>-27148.5</v>
      </c>
      <c r="H293" s="237" t="s">
        <v>1175</v>
      </c>
      <c r="I293" s="223">
        <f>VLOOKUP(A293,'HK 12.2.2014'!B:H,7,0)</f>
        <v>-27148.5</v>
      </c>
      <c r="J293" s="223">
        <f t="shared" si="4"/>
        <v>0</v>
      </c>
    </row>
    <row r="294" spans="1:10">
      <c r="A294" s="237">
        <v>6023100000</v>
      </c>
      <c r="B294" s="240">
        <v>0</v>
      </c>
      <c r="C294" s="240">
        <v>0</v>
      </c>
      <c r="D294" s="240">
        <v>12580</v>
      </c>
      <c r="E294" s="240">
        <v>0</v>
      </c>
      <c r="F294" s="240">
        <v>22162.49</v>
      </c>
      <c r="G294" s="240">
        <v>-22162.49</v>
      </c>
      <c r="H294" s="237" t="s">
        <v>1176</v>
      </c>
      <c r="I294" s="223">
        <f>VLOOKUP(A294,'HK 12.2.2014'!B:H,7,0)</f>
        <v>-22162.49</v>
      </c>
      <c r="J294" s="223">
        <f t="shared" si="4"/>
        <v>0</v>
      </c>
    </row>
    <row r="295" spans="1:10">
      <c r="A295" s="237">
        <v>6023110000</v>
      </c>
      <c r="B295" s="240">
        <v>0</v>
      </c>
      <c r="C295" s="240">
        <v>0</v>
      </c>
      <c r="D295" s="240">
        <v>12216.83</v>
      </c>
      <c r="E295" s="240">
        <v>0</v>
      </c>
      <c r="F295" s="240">
        <v>289376.67</v>
      </c>
      <c r="G295" s="240">
        <v>-289376.67</v>
      </c>
      <c r="H295" s="237" t="s">
        <v>1177</v>
      </c>
      <c r="I295" s="223">
        <f>VLOOKUP(A295,'HK 12.2.2014'!B:H,7,0)</f>
        <v>-287782.67</v>
      </c>
      <c r="J295" s="223">
        <f t="shared" si="4"/>
        <v>1594</v>
      </c>
    </row>
    <row r="296" spans="1:10">
      <c r="A296" s="237">
        <v>6023120000</v>
      </c>
      <c r="B296" s="240">
        <v>0</v>
      </c>
      <c r="C296" s="240">
        <v>0</v>
      </c>
      <c r="D296" s="240">
        <v>0</v>
      </c>
      <c r="E296" s="240">
        <v>0</v>
      </c>
      <c r="F296" s="240">
        <v>107791.91</v>
      </c>
      <c r="G296" s="240">
        <v>-107791.91</v>
      </c>
      <c r="H296" s="237" t="s">
        <v>1178</v>
      </c>
      <c r="I296" s="223">
        <f>VLOOKUP(A296,'HK 12.2.2014'!B:H,7,0)</f>
        <v>-107791.91</v>
      </c>
      <c r="J296" s="223">
        <f t="shared" si="4"/>
        <v>0</v>
      </c>
    </row>
    <row r="297" spans="1:10">
      <c r="A297" s="237">
        <v>6023130000</v>
      </c>
      <c r="B297" s="240">
        <v>0</v>
      </c>
      <c r="C297" s="240">
        <v>0</v>
      </c>
      <c r="D297" s="240">
        <v>0</v>
      </c>
      <c r="E297" s="240">
        <v>0</v>
      </c>
      <c r="F297" s="240">
        <v>-16265.97</v>
      </c>
      <c r="G297" s="240">
        <v>16265.97</v>
      </c>
      <c r="H297" s="237" t="s">
        <v>1179</v>
      </c>
      <c r="I297" s="223">
        <f>VLOOKUP(A297,'HK 12.2.2014'!B:H,7,0)</f>
        <v>16265.97</v>
      </c>
      <c r="J297" s="223">
        <f t="shared" si="4"/>
        <v>0</v>
      </c>
    </row>
    <row r="298" spans="1:10">
      <c r="A298" s="237">
        <v>6041000000</v>
      </c>
      <c r="B298" s="240">
        <v>0</v>
      </c>
      <c r="C298" s="240">
        <v>0</v>
      </c>
      <c r="D298" s="240">
        <v>0</v>
      </c>
      <c r="E298" s="240">
        <v>0</v>
      </c>
      <c r="F298" s="240">
        <v>78894.11</v>
      </c>
      <c r="G298" s="240">
        <v>-78894.11</v>
      </c>
      <c r="H298" s="237" t="s">
        <v>1180</v>
      </c>
      <c r="I298" s="223">
        <f>VLOOKUP(A298,'HK 12.2.2014'!B:H,7,0)</f>
        <v>-78894.11</v>
      </c>
      <c r="J298" s="223">
        <f t="shared" si="4"/>
        <v>0</v>
      </c>
    </row>
    <row r="299" spans="1:10">
      <c r="A299" s="237">
        <v>6221000000</v>
      </c>
      <c r="B299" s="240">
        <v>0</v>
      </c>
      <c r="C299" s="240">
        <v>0</v>
      </c>
      <c r="D299" s="240">
        <v>1526.04</v>
      </c>
      <c r="E299" s="240">
        <v>0</v>
      </c>
      <c r="F299" s="240">
        <v>21848.68</v>
      </c>
      <c r="G299" s="240">
        <v>-21848.68</v>
      </c>
      <c r="H299" s="237" t="s">
        <v>1181</v>
      </c>
      <c r="I299" s="223">
        <f>VLOOKUP(A299,'HK 12.2.2014'!B:H,7,0)</f>
        <v>-21848.68</v>
      </c>
      <c r="J299" s="223">
        <f t="shared" si="4"/>
        <v>0</v>
      </c>
    </row>
    <row r="300" spans="1:10">
      <c r="A300" s="237">
        <v>6441000000</v>
      </c>
      <c r="B300" s="240">
        <v>0</v>
      </c>
      <c r="C300" s="240">
        <v>0</v>
      </c>
      <c r="D300" s="240">
        <v>0</v>
      </c>
      <c r="E300" s="240">
        <v>0</v>
      </c>
      <c r="F300" s="240">
        <v>4.8099999999999996</v>
      </c>
      <c r="G300" s="240">
        <v>-4.8099999999999996</v>
      </c>
      <c r="H300" s="237" t="s">
        <v>1182</v>
      </c>
      <c r="I300" s="223">
        <f>VLOOKUP(A300,'HK 12.2.2014'!B:H,7,0)</f>
        <v>-4.8099999999999996</v>
      </c>
      <c r="J300" s="223">
        <f t="shared" si="4"/>
        <v>0</v>
      </c>
    </row>
    <row r="301" spans="1:10">
      <c r="A301" s="237">
        <v>6442000000</v>
      </c>
      <c r="B301" s="240">
        <v>0</v>
      </c>
      <c r="C301" s="240">
        <v>0</v>
      </c>
      <c r="D301" s="240">
        <v>0.03</v>
      </c>
      <c r="E301" s="240">
        <v>0</v>
      </c>
      <c r="F301" s="240">
        <v>-18.850000000000001</v>
      </c>
      <c r="G301" s="240">
        <v>18.850000000000001</v>
      </c>
      <c r="H301" s="237" t="s">
        <v>1183</v>
      </c>
      <c r="I301" s="223">
        <f>VLOOKUP(A301,'HK 12.2.2014'!B:H,7,0)</f>
        <v>18.850000000000001</v>
      </c>
      <c r="J301" s="223">
        <f t="shared" si="4"/>
        <v>0</v>
      </c>
    </row>
    <row r="302" spans="1:10">
      <c r="A302" s="237">
        <v>6443000000</v>
      </c>
      <c r="B302" s="240">
        <v>0</v>
      </c>
      <c r="C302" s="240">
        <v>0</v>
      </c>
      <c r="D302" s="240">
        <v>0</v>
      </c>
      <c r="E302" s="240">
        <v>0</v>
      </c>
      <c r="F302" s="240">
        <v>0.39</v>
      </c>
      <c r="G302" s="240">
        <v>-0.39</v>
      </c>
      <c r="H302" s="237" t="s">
        <v>1184</v>
      </c>
      <c r="I302" s="223">
        <f>VLOOKUP(A302,'HK 12.2.2014'!B:H,7,0)</f>
        <v>-0.39</v>
      </c>
      <c r="J302" s="223">
        <f t="shared" si="4"/>
        <v>0</v>
      </c>
    </row>
    <row r="303" spans="1:10">
      <c r="A303" s="237">
        <v>6444000000</v>
      </c>
      <c r="B303" s="240">
        <v>0</v>
      </c>
      <c r="C303" s="240">
        <v>0</v>
      </c>
      <c r="D303" s="240">
        <v>0</v>
      </c>
      <c r="E303" s="240">
        <v>0</v>
      </c>
      <c r="F303" s="240">
        <v>1.72</v>
      </c>
      <c r="G303" s="240">
        <v>-1.72</v>
      </c>
      <c r="H303" s="237" t="s">
        <v>1185</v>
      </c>
      <c r="I303" s="223">
        <f>VLOOKUP(A303,'HK 12.2.2014'!B:H,7,0)</f>
        <v>-1.72</v>
      </c>
      <c r="J303" s="223">
        <f t="shared" si="4"/>
        <v>0</v>
      </c>
    </row>
    <row r="304" spans="1:10">
      <c r="A304" s="237">
        <v>6461000000</v>
      </c>
      <c r="B304" s="240">
        <v>0</v>
      </c>
      <c r="C304" s="240">
        <v>0</v>
      </c>
      <c r="D304" s="240">
        <v>389.24</v>
      </c>
      <c r="E304" s="240">
        <v>0</v>
      </c>
      <c r="F304" s="240">
        <v>570.91999999999996</v>
      </c>
      <c r="G304" s="240">
        <v>-570.91999999999996</v>
      </c>
      <c r="H304" s="237" t="s">
        <v>1186</v>
      </c>
      <c r="I304" s="223">
        <f>VLOOKUP(A304,'HK 12.2.2014'!B:H,7,0)</f>
        <v>-570.91999999999996</v>
      </c>
      <c r="J304" s="223">
        <f t="shared" si="4"/>
        <v>0</v>
      </c>
    </row>
    <row r="305" spans="1:10">
      <c r="A305" s="237">
        <v>6494000000</v>
      </c>
      <c r="B305" s="240">
        <v>0</v>
      </c>
      <c r="C305" s="240">
        <v>0</v>
      </c>
      <c r="D305" s="240">
        <v>0.05</v>
      </c>
      <c r="E305" s="240">
        <v>0</v>
      </c>
      <c r="F305" s="240">
        <v>4.18</v>
      </c>
      <c r="G305" s="240">
        <v>-4.18</v>
      </c>
      <c r="H305" s="237" t="s">
        <v>1187</v>
      </c>
      <c r="I305" s="223">
        <f>VLOOKUP(A305,'HK 12.2.2014'!B:H,7,0)</f>
        <v>-4.18</v>
      </c>
      <c r="J305" s="223">
        <f t="shared" si="4"/>
        <v>0</v>
      </c>
    </row>
    <row r="306" spans="1:10">
      <c r="A306" s="237">
        <v>6495000000</v>
      </c>
      <c r="B306" s="240">
        <v>0</v>
      </c>
      <c r="C306" s="240">
        <v>0</v>
      </c>
      <c r="D306" s="240">
        <v>0</v>
      </c>
      <c r="E306" s="240">
        <v>0</v>
      </c>
      <c r="F306" s="240">
        <v>11990.9</v>
      </c>
      <c r="G306" s="240">
        <v>-11990.9</v>
      </c>
      <c r="H306" s="237" t="s">
        <v>1188</v>
      </c>
      <c r="I306" s="223">
        <f>VLOOKUP(A306,'HK 12.2.2014'!B:H,7,0)</f>
        <v>-11990.9</v>
      </c>
      <c r="J306" s="223">
        <f t="shared" si="4"/>
        <v>0</v>
      </c>
    </row>
    <row r="307" spans="1:10">
      <c r="A307" s="237">
        <v>6499000000</v>
      </c>
      <c r="B307" s="240">
        <v>0</v>
      </c>
      <c r="C307" s="240">
        <v>0</v>
      </c>
      <c r="D307" s="240">
        <v>0</v>
      </c>
      <c r="E307" s="240">
        <v>0</v>
      </c>
      <c r="F307" s="240">
        <v>8135.46</v>
      </c>
      <c r="G307" s="240">
        <v>-8135.46</v>
      </c>
      <c r="H307" s="237" t="s">
        <v>1189</v>
      </c>
      <c r="I307" s="223">
        <f>VLOOKUP(A307,'HK 12.2.2014'!B:H,7,0)</f>
        <v>-8135.46</v>
      </c>
      <c r="J307" s="223">
        <f t="shared" si="4"/>
        <v>0</v>
      </c>
    </row>
    <row r="308" spans="1:10">
      <c r="A308" s="237">
        <v>6561000000</v>
      </c>
      <c r="B308" s="240">
        <v>0</v>
      </c>
      <c r="C308" s="240">
        <v>0</v>
      </c>
      <c r="D308" s="240">
        <v>6690</v>
      </c>
      <c r="E308" s="240">
        <v>0</v>
      </c>
      <c r="F308" s="240">
        <v>12891</v>
      </c>
      <c r="G308" s="240">
        <v>-12891</v>
      </c>
      <c r="H308" s="237" t="s">
        <v>1190</v>
      </c>
      <c r="I308" s="223">
        <f>VLOOKUP(A308,'HK 12.2.2014'!B:H,7,0)</f>
        <v>-12891</v>
      </c>
      <c r="J308" s="223">
        <f t="shared" si="4"/>
        <v>0</v>
      </c>
    </row>
    <row r="309" spans="1:10">
      <c r="A309" s="237">
        <v>6591000000</v>
      </c>
      <c r="B309" s="240">
        <v>0</v>
      </c>
      <c r="C309" s="240">
        <v>0</v>
      </c>
      <c r="D309" s="240">
        <v>0</v>
      </c>
      <c r="E309" s="240">
        <v>0</v>
      </c>
      <c r="F309" s="240">
        <v>0</v>
      </c>
      <c r="G309" s="240">
        <v>0</v>
      </c>
      <c r="H309" s="237" t="s">
        <v>1216</v>
      </c>
      <c r="I309" s="223">
        <f>VLOOKUP(A309,'HK 12.2.2014'!B:H,7,0)</f>
        <v>0</v>
      </c>
      <c r="J309" s="223">
        <f t="shared" si="4"/>
        <v>0</v>
      </c>
    </row>
    <row r="310" spans="1:10">
      <c r="A310" s="237">
        <v>6621000000</v>
      </c>
      <c r="B310" s="240">
        <v>0</v>
      </c>
      <c r="C310" s="240">
        <v>0</v>
      </c>
      <c r="D310" s="240">
        <v>95.9</v>
      </c>
      <c r="E310" s="240">
        <v>0</v>
      </c>
      <c r="F310" s="240">
        <v>209.42</v>
      </c>
      <c r="G310" s="240">
        <v>-209.42</v>
      </c>
      <c r="H310" s="237" t="s">
        <v>1191</v>
      </c>
      <c r="I310" s="223">
        <f>VLOOKUP(A310,'HK 12.2.2014'!B:H,7,0)</f>
        <v>-209.42</v>
      </c>
      <c r="J310" s="223">
        <f t="shared" si="4"/>
        <v>0</v>
      </c>
    </row>
    <row r="311" spans="1:10">
      <c r="A311" s="237">
        <v>6625000000</v>
      </c>
      <c r="B311" s="240">
        <v>0</v>
      </c>
      <c r="C311" s="240">
        <v>0</v>
      </c>
      <c r="D311" s="240">
        <v>0</v>
      </c>
      <c r="E311" s="240">
        <v>0</v>
      </c>
      <c r="F311" s="240">
        <v>0</v>
      </c>
      <c r="G311" s="240">
        <v>0</v>
      </c>
      <c r="H311" s="237" t="s">
        <v>1192</v>
      </c>
      <c r="I311" s="223">
        <f>VLOOKUP(A311,'HK 12.2.2014'!B:H,7,0)</f>
        <v>0</v>
      </c>
      <c r="J311" s="223">
        <f t="shared" si="4"/>
        <v>0</v>
      </c>
    </row>
    <row r="312" spans="1:10">
      <c r="A312" s="237">
        <v>6631000000</v>
      </c>
      <c r="B312" s="240">
        <v>0</v>
      </c>
      <c r="C312" s="240">
        <v>0</v>
      </c>
      <c r="D312" s="240">
        <v>0</v>
      </c>
      <c r="E312" s="240">
        <v>0</v>
      </c>
      <c r="F312" s="240">
        <v>0</v>
      </c>
      <c r="G312" s="240">
        <v>0</v>
      </c>
      <c r="H312" s="237" t="s">
        <v>1193</v>
      </c>
      <c r="I312" s="223">
        <f>VLOOKUP(A312,'HK 12.2.2014'!B:H,7,0)</f>
        <v>0</v>
      </c>
      <c r="J312" s="223">
        <f t="shared" si="4"/>
        <v>0</v>
      </c>
    </row>
    <row r="313" spans="1:10">
      <c r="A313" s="237">
        <v>6651000000</v>
      </c>
      <c r="B313" s="240">
        <v>0</v>
      </c>
      <c r="C313" s="240">
        <v>0</v>
      </c>
      <c r="D313" s="240">
        <v>0</v>
      </c>
      <c r="E313" s="240">
        <v>0</v>
      </c>
      <c r="F313" s="240">
        <v>1159.9000000000001</v>
      </c>
      <c r="G313" s="240">
        <v>-1159.9000000000001</v>
      </c>
      <c r="H313" s="237" t="s">
        <v>1194</v>
      </c>
      <c r="I313" s="223">
        <f>VLOOKUP(A313,'HK 12.2.2014'!B:H,7,0)</f>
        <v>-1159.9000000000001</v>
      </c>
      <c r="J313" s="223">
        <f t="shared" si="4"/>
        <v>0</v>
      </c>
    </row>
    <row r="314" spans="1:10">
      <c r="A314" s="237">
        <v>6652000000</v>
      </c>
      <c r="B314" s="240">
        <v>0</v>
      </c>
      <c r="C314" s="240">
        <v>0</v>
      </c>
      <c r="D314" s="240">
        <v>0</v>
      </c>
      <c r="E314" s="240">
        <v>0</v>
      </c>
      <c r="F314" s="240">
        <v>19.559999999999999</v>
      </c>
      <c r="G314" s="240">
        <v>-19.559999999999999</v>
      </c>
      <c r="H314" s="237" t="s">
        <v>1195</v>
      </c>
      <c r="I314" s="223">
        <f>VLOOKUP(A314,'HK 12.2.2014'!B:H,7,0)</f>
        <v>-19.559999999999999</v>
      </c>
      <c r="J314" s="223">
        <f t="shared" si="4"/>
        <v>0</v>
      </c>
    </row>
    <row r="315" spans="1:10">
      <c r="A315" s="237">
        <v>6911000000</v>
      </c>
      <c r="B315" s="240">
        <v>0</v>
      </c>
      <c r="C315" s="240">
        <v>0</v>
      </c>
      <c r="D315" s="240">
        <v>1100.97</v>
      </c>
      <c r="E315" s="240">
        <v>0</v>
      </c>
      <c r="F315" s="240">
        <v>9267.67</v>
      </c>
      <c r="G315" s="240">
        <v>-9267.67</v>
      </c>
      <c r="H315" s="237" t="s">
        <v>1196</v>
      </c>
      <c r="I315" s="223">
        <f>VLOOKUP(A315,'HK 12.2.2014'!B:H,7,0)</f>
        <v>-9267.67</v>
      </c>
      <c r="J315" s="223">
        <f t="shared" si="4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22</vt:i4>
      </vt:variant>
      <vt:variant>
        <vt:lpstr>Pomenované rozsahy</vt:lpstr>
      </vt:variant>
      <vt:variant>
        <vt:i4>3</vt:i4>
      </vt:variant>
    </vt:vector>
  </HeadingPairs>
  <TitlesOfParts>
    <vt:vector size="25" baseType="lpstr">
      <vt:lpstr>input data</vt:lpstr>
      <vt:lpstr>titulny list</vt:lpstr>
      <vt:lpstr>súvaha_vykaz</vt:lpstr>
      <vt:lpstr>VZaS_vykaz</vt:lpstr>
      <vt:lpstr>osnova</vt:lpstr>
      <vt:lpstr>zdroj HK</vt:lpstr>
      <vt:lpstr>HK 20.2.2014</vt:lpstr>
      <vt:lpstr>HK 12.2.2014</vt:lpstr>
      <vt:lpstr>HK 19.2.2014</vt:lpstr>
      <vt:lpstr>HK 2014</vt:lpstr>
      <vt:lpstr>VC</vt:lpstr>
      <vt:lpstr>PL</vt:lpstr>
      <vt:lpstr>uvod</vt:lpstr>
      <vt:lpstr>VC detail</vt:lpstr>
      <vt:lpstr>tabulky Aktiva</vt:lpstr>
      <vt:lpstr>tabulky Pasiva</vt:lpstr>
      <vt:lpstr>Vynosy</vt:lpstr>
      <vt:lpstr>Naklady</vt:lpstr>
      <vt:lpstr>Podsuvaha</vt:lpstr>
      <vt:lpstr>311 ageing</vt:lpstr>
      <vt:lpstr>321 ageing</vt:lpstr>
      <vt:lpstr>518 v 2013</vt:lpstr>
      <vt:lpstr>súvaha_vykaz!Oblasť_tlače</vt:lpstr>
      <vt:lpstr>'titulny list'!Oblasť_tlače</vt:lpstr>
      <vt:lpstr>VZaS_vykaz!Oblasť_tlače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Hudáková Jana</dc:creator>
  <cp:lastModifiedBy>Spravca</cp:lastModifiedBy>
  <cp:lastPrinted>2015-04-14T07:17:41Z</cp:lastPrinted>
  <dcterms:created xsi:type="dcterms:W3CDTF">2001-12-25T13:06:39Z</dcterms:created>
  <dcterms:modified xsi:type="dcterms:W3CDTF">2015-04-30T13:24:42Z</dcterms:modified>
</cp:coreProperties>
</file>