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9416" windowHeight="11016" tabRatio="948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4" sheetId="41" r:id="rId38"/>
    <sheet name="33" sheetId="40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45621"/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B9" i="40" s="1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F4" i="21"/>
  <c r="B4" i="21"/>
  <c r="F3" i="21"/>
  <c r="B3" i="21"/>
  <c r="B5" i="21" s="1"/>
  <c r="F5" i="21" s="1"/>
  <c r="D12" i="55"/>
  <c r="C12" i="55"/>
  <c r="E11" i="55"/>
  <c r="B11" i="55"/>
  <c r="E10" i="55"/>
  <c r="B10" i="55"/>
  <c r="E9" i="55"/>
  <c r="B9" i="55"/>
  <c r="E7" i="55"/>
  <c r="B7" i="55"/>
  <c r="E6" i="55"/>
  <c r="E12" i="55" s="1"/>
  <c r="B6" i="55"/>
  <c r="B12" i="55" s="1"/>
  <c r="C7" i="19"/>
  <c r="B7" i="19"/>
  <c r="C6" i="19"/>
  <c r="B6" i="19"/>
  <c r="C5" i="19"/>
  <c r="B5" i="19"/>
  <c r="C4" i="19"/>
  <c r="C8" i="19" s="1"/>
  <c r="B4" i="19"/>
  <c r="B8" i="19" s="1"/>
  <c r="C19" i="77"/>
  <c r="B19" i="77"/>
  <c r="D18" i="77"/>
  <c r="D17" i="77"/>
  <c r="D16" i="77"/>
  <c r="D15" i="77"/>
  <c r="D14" i="77"/>
  <c r="D13" i="77"/>
  <c r="D19" i="77" s="1"/>
  <c r="D12" i="77"/>
  <c r="C10" i="77"/>
  <c r="B10" i="77"/>
  <c r="D9" i="77"/>
  <c r="D8" i="77"/>
  <c r="D10" i="77" s="1"/>
  <c r="D7" i="77"/>
  <c r="D6" i="77"/>
  <c r="D5" i="77"/>
  <c r="B9" i="17"/>
  <c r="F8" i="17"/>
  <c r="B8" i="17"/>
  <c r="F7" i="17"/>
  <c r="B7" i="17"/>
  <c r="F6" i="17"/>
  <c r="B6" i="17"/>
  <c r="F5" i="17"/>
  <c r="F9" i="17" s="1"/>
  <c r="B5" i="17"/>
  <c r="F4" i="17"/>
  <c r="B4" i="17"/>
  <c r="D13" i="56"/>
  <c r="C13" i="56"/>
  <c r="B13" i="56"/>
  <c r="D6" i="56"/>
  <c r="C4" i="56"/>
  <c r="B4" i="56"/>
  <c r="E12" i="14"/>
  <c r="D12" i="14"/>
  <c r="C12" i="14"/>
  <c r="F11" i="14"/>
  <c r="F10" i="14"/>
  <c r="F12" i="14" s="1"/>
  <c r="F9" i="14"/>
  <c r="B9" i="14"/>
  <c r="F8" i="14"/>
  <c r="B8" i="14"/>
  <c r="F7" i="14"/>
  <c r="B7" i="14"/>
  <c r="F6" i="14"/>
  <c r="B6" i="14"/>
  <c r="F5" i="14"/>
  <c r="B5" i="14"/>
  <c r="B12" i="14" s="1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9" i="11" s="1"/>
  <c r="F15" i="11"/>
  <c r="F11" i="11"/>
  <c r="F7" i="11"/>
  <c r="I36" i="9"/>
  <c r="J34" i="9"/>
  <c r="J33" i="9"/>
  <c r="J32" i="9"/>
  <c r="J36" i="9" s="1"/>
  <c r="I30" i="9"/>
  <c r="H30" i="9"/>
  <c r="F30" i="9"/>
  <c r="E30" i="9"/>
  <c r="D30" i="9"/>
  <c r="C30" i="9"/>
  <c r="B30" i="9"/>
  <c r="J29" i="9"/>
  <c r="J28" i="9"/>
  <c r="J27" i="9"/>
  <c r="I26" i="9"/>
  <c r="H26" i="9"/>
  <c r="F26" i="9"/>
  <c r="E26" i="9"/>
  <c r="D26" i="9"/>
  <c r="C26" i="9"/>
  <c r="J26" i="9" s="1"/>
  <c r="J30" i="9" s="1"/>
  <c r="B26" i="9"/>
  <c r="I16" i="9"/>
  <c r="J14" i="9"/>
  <c r="J13" i="9"/>
  <c r="J12" i="9"/>
  <c r="J16" i="9" s="1"/>
  <c r="I12" i="9"/>
  <c r="I10" i="9"/>
  <c r="H10" i="9"/>
  <c r="F10" i="9"/>
  <c r="E10" i="9"/>
  <c r="D10" i="9"/>
  <c r="C10" i="9"/>
  <c r="B10" i="9"/>
  <c r="J9" i="9"/>
  <c r="J8" i="9"/>
  <c r="J7" i="9"/>
  <c r="I6" i="9"/>
  <c r="H6" i="9"/>
  <c r="F6" i="9"/>
  <c r="E6" i="9"/>
  <c r="D6" i="9"/>
  <c r="C6" i="9"/>
  <c r="B6" i="9"/>
  <c r="J6" i="9" s="1"/>
  <c r="J10" i="9" s="1"/>
  <c r="I51" i="7"/>
  <c r="G51" i="7"/>
  <c r="E51" i="7"/>
  <c r="C51" i="7"/>
  <c r="F50" i="7"/>
  <c r="I48" i="7"/>
  <c r="H48" i="7"/>
  <c r="J46" i="7"/>
  <c r="J45" i="7"/>
  <c r="J44" i="7"/>
  <c r="J48" i="7" s="1"/>
  <c r="H44" i="7"/>
  <c r="G42" i="7"/>
  <c r="F42" i="7"/>
  <c r="E42" i="7"/>
  <c r="D42" i="7"/>
  <c r="C42" i="7"/>
  <c r="J40" i="7"/>
  <c r="J39" i="7"/>
  <c r="G38" i="7"/>
  <c r="F38" i="7"/>
  <c r="E38" i="7"/>
  <c r="D38" i="7"/>
  <c r="J38" i="7" s="1"/>
  <c r="J42" i="7" s="1"/>
  <c r="C38" i="7"/>
  <c r="I36" i="7"/>
  <c r="H36" i="7"/>
  <c r="H51" i="7" s="1"/>
  <c r="G36" i="7"/>
  <c r="F36" i="7"/>
  <c r="F51" i="7" s="1"/>
  <c r="E36" i="7"/>
  <c r="D36" i="7"/>
  <c r="D51" i="7" s="1"/>
  <c r="C36" i="7"/>
  <c r="B36" i="7"/>
  <c r="B51" i="7" s="1"/>
  <c r="J35" i="7"/>
  <c r="J34" i="7"/>
  <c r="J33" i="7"/>
  <c r="I32" i="7"/>
  <c r="I50" i="7" s="1"/>
  <c r="H32" i="7"/>
  <c r="H50" i="7" s="1"/>
  <c r="G32" i="7"/>
  <c r="G50" i="7" s="1"/>
  <c r="F32" i="7"/>
  <c r="E32" i="7"/>
  <c r="E50" i="7" s="1"/>
  <c r="D32" i="7"/>
  <c r="D50" i="7" s="1"/>
  <c r="C32" i="7"/>
  <c r="C50" i="7" s="1"/>
  <c r="B32" i="7"/>
  <c r="B50" i="7" s="1"/>
  <c r="I22" i="7"/>
  <c r="H22" i="7"/>
  <c r="J20" i="7"/>
  <c r="J19" i="7"/>
  <c r="I18" i="7"/>
  <c r="H18" i="7"/>
  <c r="J18" i="7" s="1"/>
  <c r="J22" i="7" s="1"/>
  <c r="G16" i="7"/>
  <c r="F16" i="7"/>
  <c r="E16" i="7"/>
  <c r="D16" i="7"/>
  <c r="C16" i="7"/>
  <c r="J14" i="7"/>
  <c r="J13" i="7"/>
  <c r="G12" i="7"/>
  <c r="F12" i="7"/>
  <c r="E12" i="7"/>
  <c r="D12" i="7"/>
  <c r="C12" i="7"/>
  <c r="J12" i="7" s="1"/>
  <c r="J16" i="7" s="1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H49" i="5"/>
  <c r="G49" i="5"/>
  <c r="I47" i="5"/>
  <c r="I46" i="5"/>
  <c r="G45" i="5"/>
  <c r="I45" i="5" s="1"/>
  <c r="I49" i="5" s="1"/>
  <c r="F43" i="5"/>
  <c r="E43" i="5"/>
  <c r="D43" i="5"/>
  <c r="C43" i="5"/>
  <c r="B43" i="5"/>
  <c r="I41" i="5"/>
  <c r="I40" i="5"/>
  <c r="F39" i="5"/>
  <c r="E39" i="5"/>
  <c r="D39" i="5"/>
  <c r="C39" i="5"/>
  <c r="B39" i="5"/>
  <c r="I39" i="5" s="1"/>
  <c r="I43" i="5" s="1"/>
  <c r="H37" i="5"/>
  <c r="G37" i="5"/>
  <c r="F37" i="5"/>
  <c r="E37" i="5"/>
  <c r="D37" i="5"/>
  <c r="C37" i="5"/>
  <c r="B37" i="5"/>
  <c r="I36" i="5"/>
  <c r="I35" i="5"/>
  <c r="I34" i="5"/>
  <c r="H33" i="5"/>
  <c r="G33" i="5"/>
  <c r="F33" i="5"/>
  <c r="E33" i="5"/>
  <c r="D33" i="5"/>
  <c r="C33" i="5"/>
  <c r="I33" i="5" s="1"/>
  <c r="B33" i="5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F12" i="5"/>
  <c r="E12" i="5"/>
  <c r="D12" i="5"/>
  <c r="C12" i="5"/>
  <c r="I12" i="5" s="1"/>
  <c r="I16" i="5" s="1"/>
  <c r="B12" i="5"/>
  <c r="H10" i="5"/>
  <c r="G10" i="5"/>
  <c r="F10" i="5"/>
  <c r="E10" i="5"/>
  <c r="D10" i="5"/>
  <c r="C10" i="5"/>
  <c r="B10" i="5"/>
  <c r="I9" i="5"/>
  <c r="I8" i="5"/>
  <c r="I7" i="5"/>
  <c r="H6" i="5"/>
  <c r="G6" i="5"/>
  <c r="F6" i="5"/>
  <c r="E6" i="5"/>
  <c r="D6" i="5"/>
  <c r="C6" i="5"/>
  <c r="B6" i="5"/>
  <c r="I6" i="5" s="1"/>
  <c r="I24" i="5" l="1"/>
  <c r="I10" i="5"/>
  <c r="I25" i="5" s="1"/>
  <c r="I37" i="5"/>
  <c r="I52" i="5" s="1"/>
  <c r="I51" i="5"/>
  <c r="J10" i="7"/>
  <c r="J25" i="7" s="1"/>
  <c r="J24" i="7"/>
  <c r="J32" i="7"/>
  <c r="J50" i="7" l="1"/>
  <c r="J36" i="7"/>
  <c r="J51" i="7" s="1"/>
</calcChain>
</file>

<file path=xl/sharedStrings.xml><?xml version="1.0" encoding="utf-8"?>
<sst xmlns="http://schemas.openxmlformats.org/spreadsheetml/2006/main" count="3073" uniqueCount="1407">
  <si>
    <t>314019</t>
  </si>
  <si>
    <t>130</t>
  </si>
  <si>
    <t>Hodnota vlastného imania ÚJ, v ktorej má ÚJ umiestnený DFM</t>
  </si>
  <si>
    <t>582001</t>
  </si>
  <si>
    <t>591</t>
  </si>
  <si>
    <t>343825</t>
  </si>
  <si>
    <t>125</t>
  </si>
  <si>
    <t>Tabuľka č. 3</t>
  </si>
  <si>
    <t>Tabuľka č. 2</t>
  </si>
  <si>
    <t>022001</t>
  </si>
  <si>
    <t>(3) Kód SK NACE sa vypĺňa podľa vyhlášky Štatistického úradu Slovenskej republiky č. 306/2007</t>
  </si>
  <si>
    <t>021</t>
  </si>
  <si>
    <t>642001</t>
  </si>
  <si>
    <t>Tabuľka č. 4</t>
  </si>
  <si>
    <t>429000</t>
  </si>
  <si>
    <t>B.  V.</t>
  </si>
  <si>
    <t>065</t>
  </si>
  <si>
    <t>039</t>
  </si>
  <si>
    <t>Úbytky</t>
  </si>
  <si>
    <t>Prevod do nerozdeleného zisku minulých rokov</t>
  </si>
  <si>
    <t>Pokladnica   -  CZK</t>
  </si>
  <si>
    <t>Dlhové CP so splatnosťou do  jedného roka držané do splatnosti</t>
  </si>
  <si>
    <t>018</t>
  </si>
  <si>
    <t>Dlhodobé záväzky z obchodného styku súčet (r. 104 až r. 106)</t>
  </si>
  <si>
    <t>Prídel do zákonného rezervného fondu</t>
  </si>
  <si>
    <t>Poskytnuté preddavky   - CA 368BL</t>
  </si>
  <si>
    <t>089</t>
  </si>
  <si>
    <t>Daň z nehnutelnosti</t>
  </si>
  <si>
    <t>Pozemky ( 031 ) - 092A</t>
  </si>
  <si>
    <t>Krátkodobý finančný majetok v prepojených ÚJ (251A,253A,256A,257A,25XA) - /291A,29XA)</t>
  </si>
  <si>
    <t xml:space="preserve">Tabuľka č. 1 </t>
  </si>
  <si>
    <t>Odložená daňová pohľadávka (481A)</t>
  </si>
  <si>
    <t>DIČ – daňové identifikačné číslo</t>
  </si>
  <si>
    <t>Služby na stavbách</t>
  </si>
  <si>
    <t>Dlhodobé rezervy r. 119 + r. 120</t>
  </si>
  <si>
    <t>Odberatelia - zahraničné CZK</t>
  </si>
  <si>
    <t>381001</t>
  </si>
  <si>
    <t>PROJEKT EÚ</t>
  </si>
  <si>
    <t>Iné pohľadávky  - DPH HUF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</si>
  <si>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</si>
  <si>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</si>
  <si>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</si>
  <si>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</si>
  <si>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385001</t>
  </si>
  <si>
    <t>518001</t>
  </si>
  <si>
    <t>51</t>
  </si>
  <si>
    <t>zdaniteľné</t>
  </si>
  <si>
    <t>SLSP -  Projekt EU</t>
  </si>
  <si>
    <t>Neuhradená strata z minulých rokov  ( (-)429 )</t>
  </si>
  <si>
    <t>Ostatné realizované cenné papiere a podiely (063A) - /096A/</t>
  </si>
  <si>
    <t>46</t>
  </si>
  <si>
    <t>Výrobky</t>
  </si>
  <si>
    <t xml:space="preserve">teoretická daň </t>
  </si>
  <si>
    <t>Odložená daň z príjmov</t>
  </si>
  <si>
    <t>Zabezpečovacie deriváty, z toho:</t>
  </si>
  <si>
    <t>Zákonné sociálne náklady</t>
  </si>
  <si>
    <t>14. Informácie k časti F. písm. r) prílohy č. 3 o vývoji opravnej položky  k pohľadávkam</t>
  </si>
  <si>
    <t>Výnosy budúcich období dlhodobé ( 384A )</t>
  </si>
  <si>
    <t>Krátkodobý finančný majetok spolu</t>
  </si>
  <si>
    <t>512001</t>
  </si>
  <si>
    <t>Suma zadržanej platby</t>
  </si>
  <si>
    <t>336001</t>
  </si>
  <si>
    <t>Ostatné dlhodobé CP a podiely</t>
  </si>
  <si>
    <t>Pridaná hodnota (r.03+r.04+r.05+r.06+r.07)-(r.11+r.12+r.13+r.14)</t>
  </si>
  <si>
    <t>026</t>
  </si>
  <si>
    <t>331001</t>
  </si>
  <si>
    <t>642000</t>
  </si>
  <si>
    <t>04</t>
  </si>
  <si>
    <t>324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</si>
  <si>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</si>
  <si>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</si>
  <si>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</si>
  <si>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</si>
  <si>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</si>
  <si>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Náklady na zákazkovú výstavbu nehnuteľnosti určenej na predaj</t>
  </si>
  <si>
    <t>562001</t>
  </si>
  <si>
    <t>314000</t>
  </si>
  <si>
    <t>N.1.</t>
  </si>
  <si>
    <t>Predaný tovar</t>
  </si>
  <si>
    <t>Tovar</t>
  </si>
  <si>
    <t>Tržby z predaja dlhodob. majetku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</si>
  <si>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</si>
  <si>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</si>
  <si>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</si>
  <si>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</si>
  <si>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Vstup tovar - daň platí príjemca EÚ</t>
  </si>
  <si>
    <t>003</t>
  </si>
  <si>
    <t>Emisné kvóty (komodity)</t>
  </si>
  <si>
    <t>Opis predmetu záložného práva</t>
  </si>
  <si>
    <t>501</t>
  </si>
  <si>
    <t>Účtovná hodnota DFM</t>
  </si>
  <si>
    <t>Zásoby</t>
  </si>
  <si>
    <t>421</t>
  </si>
  <si>
    <t>A. II.</t>
  </si>
  <si>
    <t xml:space="preserve">Ostatné realizovateľné CP a podiely  </t>
  </si>
  <si>
    <t>úver, pôžička</t>
  </si>
  <si>
    <t>Neuhradená strata minulých rokov</t>
  </si>
  <si>
    <t>PHM na sklade</t>
  </si>
  <si>
    <t xml:space="preserve">Účtovný zisk </t>
  </si>
  <si>
    <t>Opravná položka k pohľadávkam</t>
  </si>
  <si>
    <t>103</t>
  </si>
  <si>
    <t>Stav na konci účtovného obdobia</t>
  </si>
  <si>
    <t>Tržby z predaja materiálu</t>
  </si>
  <si>
    <t>2. Informácie k časti F. písm. a) prílohy č. 3 o dlhodobom nehmotnom majetku</t>
  </si>
  <si>
    <t>DÚJ – dcérska účtovná jednotka</t>
  </si>
  <si>
    <t>Poskytnuté  preddavky</t>
  </si>
  <si>
    <t>385</t>
  </si>
  <si>
    <t>Výnosy z hospodárskej činnosti spolu súčet (r.03 až r.09)</t>
  </si>
  <si>
    <t>Z nerozdeleného zisku minulých rokov</t>
  </si>
  <si>
    <t>379001</t>
  </si>
  <si>
    <t>Oprávky stavbám</t>
  </si>
  <si>
    <t>DFM – dlhodobý finančný majetok</t>
  </si>
  <si>
    <t>Tvorba OP</t>
  </si>
  <si>
    <t>391001</t>
  </si>
  <si>
    <t>Dlhodobý nehmotný majetok</t>
  </si>
  <si>
    <t>37</t>
  </si>
  <si>
    <t>B.IV.</t>
  </si>
  <si>
    <t>Tržby z predaja tovaru ( 604, 607 )</t>
  </si>
  <si>
    <t>128</t>
  </si>
  <si>
    <t>134</t>
  </si>
  <si>
    <t>Tržby z predaja služieb</t>
  </si>
  <si>
    <t>Pestovateľské celky 
trvalých porastov</t>
  </si>
  <si>
    <t>Ostatné kapitálové fondy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</si>
  <si>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</si>
  <si>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</si>
  <si>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</si>
  <si>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</si>
  <si>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</si>
  <si>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123</t>
  </si>
  <si>
    <t>Emisné kvóty</t>
  </si>
  <si>
    <t>Výdavky budúcich období</t>
  </si>
  <si>
    <t>Daň v %</t>
  </si>
  <si>
    <t>082001</t>
  </si>
  <si>
    <t>014</t>
  </si>
  <si>
    <t>Pôžičky prepojeným ÚJ (066A) - /096A/</t>
  </si>
  <si>
    <t>141</t>
  </si>
  <si>
    <t>Kurzové straty (563)</t>
  </si>
  <si>
    <t>Bežné účtovné obdobie</t>
  </si>
  <si>
    <t>Zmena odloženého daňového záväzku</t>
  </si>
  <si>
    <t>083</t>
  </si>
  <si>
    <t>518100</t>
  </si>
  <si>
    <t>145</t>
  </si>
  <si>
    <t>221001</t>
  </si>
  <si>
    <t>211005</t>
  </si>
  <si>
    <t>24. Informácie k časti G. písm. c) a d) prílohy č. 3 o záväzkoch</t>
  </si>
  <si>
    <t>592001</t>
  </si>
  <si>
    <t>379</t>
  </si>
  <si>
    <t>Názov položky</t>
  </si>
  <si>
    <t>004</t>
  </si>
  <si>
    <t>Výsledok hospodárenia z hospodárskej činnosti (+/-) (r.02 - r. 10)</t>
  </si>
  <si>
    <t>Zákonné rezervné fondy r. 088 + r. 089</t>
  </si>
  <si>
    <t>501030</t>
  </si>
  <si>
    <t>013</t>
  </si>
  <si>
    <t>211</t>
  </si>
  <si>
    <t>106</t>
  </si>
  <si>
    <t>Stav OP  na začiatku účtovného obdobia</t>
  </si>
  <si>
    <t>IX.</t>
  </si>
  <si>
    <t>Dom Liptov</t>
  </si>
  <si>
    <t>Obstarávanie krátkodobého finančného majetku</t>
  </si>
  <si>
    <t>Vyfakturované nároky za vykonanú prácu na zákazkovej výstavbe nehnuteľnosti určenej na predaj</t>
  </si>
  <si>
    <t>DOVERA</t>
  </si>
  <si>
    <t>UNION</t>
  </si>
  <si>
    <t>B.IV.  1.</t>
  </si>
  <si>
    <t>17. Informácie k časti F. písm. w)  prílohy č. 3 o krátkodobom finančnom majetku</t>
  </si>
  <si>
    <t>26</t>
  </si>
  <si>
    <t>Pohľadávky voči spoločníkom,členom a združeniu (354A,355A,358A,35XA) -/391A/</t>
  </si>
  <si>
    <t>Stav OP na začiatku účtovného obdobia</t>
  </si>
  <si>
    <t>521</t>
  </si>
  <si>
    <t>080</t>
  </si>
  <si>
    <t>381</t>
  </si>
  <si>
    <t xml:space="preserve">16. Informácie k časti F. písm. t) a u) prílohy č. 3  o pohľadávkach zabezpečených záložným právom alebo inou formou zabezpečenia   </t>
  </si>
  <si>
    <t>transfer</t>
  </si>
  <si>
    <t>X.</t>
  </si>
  <si>
    <t>Menovitá hodnota</t>
  </si>
  <si>
    <t>Krátkodobé bankové úvery</t>
  </si>
  <si>
    <t>Výnosy nepodliehajúce dani</t>
  </si>
  <si>
    <t>326</t>
  </si>
  <si>
    <t>Krátkodobý finančný majetok</t>
  </si>
  <si>
    <t>DHM – dlhodobý hmotný majetok</t>
  </si>
  <si>
    <t>Ostatné záväzky voči prepojeným ÚJ (471A,47XA)</t>
  </si>
  <si>
    <t>261002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</si>
  <si>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</si>
  <si>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</si>
  <si>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</si>
  <si>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</si>
  <si>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</si>
  <si>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Vstup služby - daň platí príjemca E</t>
  </si>
  <si>
    <t>Ostatné pohľadávky z obchodného styku (311A,312A,313A,314A,315A,31XA)-/391A/</t>
  </si>
  <si>
    <t>Ostatné záväzky v rámci podielovej účasti okrem záväzkov voči prep.ÚJ  (471A, 47XA)</t>
  </si>
  <si>
    <t>Ceniny</t>
  </si>
  <si>
    <t>Štatutárne fondy ( 423, 42X )</t>
  </si>
  <si>
    <t>Krátkodobé rezervy, z toho: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</si>
  <si>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</si>
  <si>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</si>
  <si>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</si>
  <si>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</si>
  <si>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</si>
  <si>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Zostatková cena predaného dlhodobého majetku a predaného materiálu ( 541, 542 )</t>
  </si>
  <si>
    <t>Bezprostred- 
ne predchádza-
júce účtovné obdobie</t>
  </si>
  <si>
    <t>Tržby za vlastné výrobky</t>
  </si>
  <si>
    <t>Bežné bankové účty</t>
  </si>
  <si>
    <t>038</t>
  </si>
  <si>
    <t>Hodnota pohľadávky</t>
  </si>
  <si>
    <t>073001</t>
  </si>
  <si>
    <t>Spotreba energie</t>
  </si>
  <si>
    <t>XIV.</t>
  </si>
  <si>
    <t>022012</t>
  </si>
  <si>
    <t>VšZP</t>
  </si>
  <si>
    <t>Ostatné služby  - DPH PLN</t>
  </si>
  <si>
    <t>548001</t>
  </si>
  <si>
    <t>602001</t>
  </si>
  <si>
    <t>602</t>
  </si>
  <si>
    <t>Výnosy z kratkodobého finančného majetku súčet (r.36 až r.38)</t>
  </si>
  <si>
    <t>Druh obchodu</t>
  </si>
  <si>
    <t>Dlhové CP na obchodovanie</t>
  </si>
  <si>
    <t>2</t>
  </si>
  <si>
    <t>49</t>
  </si>
  <si>
    <t>472001</t>
  </si>
  <si>
    <t>Dlhodobé pôžičky spolu</t>
  </si>
  <si>
    <t>518099</t>
  </si>
  <si>
    <t>Ostatné dane a poplatky</t>
  </si>
  <si>
    <t>365</t>
  </si>
  <si>
    <t>501002</t>
  </si>
  <si>
    <t>042002</t>
  </si>
  <si>
    <t>ČSOB    - 4005926935/7500  -  CZK</t>
  </si>
  <si>
    <t>062</t>
  </si>
  <si>
    <t>56</t>
  </si>
  <si>
    <t>Nedokončená výroba a polotovary vlastnej výroby</t>
  </si>
  <si>
    <t>Vplyv ocenenia na výsledok hospodárenia bežného účtovného obdobia</t>
  </si>
  <si>
    <t>668001</t>
  </si>
  <si>
    <t>Daňové záväzky a dotácie ( 341, 342, 343, 345, 346, 347, 34X )</t>
  </si>
  <si>
    <t>36</t>
  </si>
  <si>
    <t>IS,020,S</t>
  </si>
  <si>
    <t>Vysporiadanie účtovnej straty</t>
  </si>
  <si>
    <t>346001</t>
  </si>
  <si>
    <t>381012</t>
  </si>
  <si>
    <t>Finančné účty r.072 + r. 073</t>
  </si>
  <si>
    <t>Pokladnica</t>
  </si>
  <si>
    <t>A. V. 1.</t>
  </si>
  <si>
    <t>3.</t>
  </si>
  <si>
    <t>Ostatný DNM</t>
  </si>
  <si>
    <t>Aktivované náklady na vývoj</t>
  </si>
  <si>
    <t>041</t>
  </si>
  <si>
    <t>Suma odloženej daňovej pohľadávky účtovanej ako náklad alebo výnos vyplývajúca zo zmeny sadzby dane z príjmov</t>
  </si>
  <si>
    <t>513001</t>
  </si>
  <si>
    <t>Daň z príjmov odložená (+/-) (592)</t>
  </si>
  <si>
    <t>A. IV. 1.</t>
  </si>
  <si>
    <t>Výdavky budúcich období dlhodobé ( 383A )</t>
  </si>
  <si>
    <t>Poskytnuté preddavky   - CA 364CJ</t>
  </si>
  <si>
    <t>Zamestnanci</t>
  </si>
  <si>
    <t xml:space="preserve">Zvieratá </t>
  </si>
  <si>
    <t>Hodnota</t>
  </si>
  <si>
    <t>Krátkodobé pohľadávky</t>
  </si>
  <si>
    <t>Kód druhu obchodu</t>
  </si>
  <si>
    <t>Odpisy o opravné položky dlhodobému NM a dlhodobému HM (r.22 + r.23)</t>
  </si>
  <si>
    <t>P A S Í V A</t>
  </si>
  <si>
    <t>Priemerný prepočítaný počet zamestnancov</t>
  </si>
  <si>
    <t>Prijaté preddavky</t>
  </si>
  <si>
    <t>Tabuľka č. 1</t>
  </si>
  <si>
    <t>Poskytnuté preddavky 
na zásoby</t>
  </si>
  <si>
    <t>Poskytnuté preddavky na dlhodobý HM ( 052 ) - /095A/</t>
  </si>
  <si>
    <t>074</t>
  </si>
  <si>
    <t>Ostatné záväzky voči spoločníkom</t>
  </si>
  <si>
    <t>Obstarávaný krátkodobý finančný majetok (259,314A) - /291A/</t>
  </si>
  <si>
    <t>Výstup tovar - daň platí príjemca E</t>
  </si>
  <si>
    <t>Zo zákonného rezervného fondu</t>
  </si>
  <si>
    <t>411001</t>
  </si>
  <si>
    <t>Manká a škody</t>
  </si>
  <si>
    <t>Náklady budúcich období dlhodobé ( 381A,382A )</t>
  </si>
  <si>
    <t>Dátum splatnosti</t>
  </si>
  <si>
    <t>701</t>
  </si>
  <si>
    <t>084</t>
  </si>
  <si>
    <t>Dlhodobé bankové úvery</t>
  </si>
  <si>
    <t>Poskytnuté preddavky   - CA 524AV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</si>
  <si>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</si>
  <si>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</si>
  <si>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</si>
  <si>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</si>
  <si>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321012</t>
  </si>
  <si>
    <t>Vstup tuzemsko 19%</t>
  </si>
  <si>
    <t>Dlhodobý finančný majetok, na ktorý je zriadené záložné právo</t>
  </si>
  <si>
    <t>viac ako päť rokov</t>
  </si>
  <si>
    <t>Samost.hnuteľ. vecí a súbory hnuteľ.vecí</t>
  </si>
  <si>
    <t xml:space="preserve">12. Informácie k časti F. písm. p) prílohy č. 3 o zásobách, na ktoré je zriadené záložné právo </t>
  </si>
  <si>
    <t>315</t>
  </si>
  <si>
    <t>Záväzky po lehote splatnosti</t>
  </si>
  <si>
    <t>Ostatné výnosy z finančnej činnosti (668)</t>
  </si>
  <si>
    <t>PHM - z českej republiky</t>
  </si>
  <si>
    <t>591002</t>
  </si>
  <si>
    <t>B.  I. 1.</t>
  </si>
  <si>
    <t>32. Informácie k časti H. písm. b) prílohy č. 3 o zmene stavu vnútroorganizačných zásob</t>
  </si>
  <si>
    <t>Preddavky</t>
  </si>
  <si>
    <t>551</t>
  </si>
  <si>
    <t>Ostatný dlhodobý hmotný majetok (029,02X,032) - / 089, 08X, 092A/</t>
  </si>
  <si>
    <t>Základné stádo a ťažné zvieratá</t>
  </si>
  <si>
    <t>Zvýšenie/ zníženie hodnoty (+/-)</t>
  </si>
  <si>
    <t>Poskytnuté preddavky   - CA 610AX</t>
  </si>
  <si>
    <t>Zásoby, na ktoré je zriadené záložné právo</t>
  </si>
  <si>
    <t>343</t>
  </si>
  <si>
    <t>31</t>
  </si>
  <si>
    <t>38</t>
  </si>
  <si>
    <t>Záväzky so zostatkovou dobou splatnosti do jedneho roka vrátane</t>
  </si>
  <si>
    <t>Daň z príjm. z bež. čin. - odložená</t>
  </si>
  <si>
    <t>Druh CP</t>
  </si>
  <si>
    <t>IV.</t>
  </si>
  <si>
    <t>137</t>
  </si>
  <si>
    <t>Oprávky</t>
  </si>
  <si>
    <t>101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</si>
  <si>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</si>
  <si>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</si>
  <si>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545</t>
  </si>
  <si>
    <t>051</t>
  </si>
  <si>
    <t>343924</t>
  </si>
  <si>
    <t>LEASING - KIA SPORTAGE</t>
  </si>
  <si>
    <t>Počet</t>
  </si>
  <si>
    <t>Sociálne náklady ( 527, 528 )</t>
  </si>
  <si>
    <t>PS,Z,CO</t>
  </si>
  <si>
    <t>SLSP     - 5051082205/0900</t>
  </si>
  <si>
    <t>Vysvetlivky:</t>
  </si>
  <si>
    <t>144</t>
  </si>
  <si>
    <t>501040</t>
  </si>
  <si>
    <t>020</t>
  </si>
  <si>
    <t>A.VIII.</t>
  </si>
  <si>
    <t>Netto v bežnom
účtovnom období</t>
  </si>
  <si>
    <t>23. Informácie k časti G. písm. b) prílohy č. 3 o rezervách</t>
  </si>
  <si>
    <t>030</t>
  </si>
  <si>
    <t>345001</t>
  </si>
  <si>
    <t>701000</t>
  </si>
  <si>
    <t>Pôžičky ÚJ 
v kons. celku</t>
  </si>
  <si>
    <t>Finančný výnos</t>
  </si>
  <si>
    <t>Dlhodobý finančný majetok súčet (r. 022 až 032)</t>
  </si>
  <si>
    <t>Ostatné pohľadávky  - energia prefakt.</t>
  </si>
  <si>
    <t>Vstup tuzemsko 10%</t>
  </si>
  <si>
    <t>Výdavky budúcich období krátkodobé ( 383A )</t>
  </si>
  <si>
    <t>Základné imanie ( 411 alebo +/-491 )</t>
  </si>
  <si>
    <t>Daň z príjmov</t>
  </si>
  <si>
    <t>531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</si>
  <si>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</si>
  <si>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</si>
  <si>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</si>
  <si>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</si>
  <si>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</si>
  <si>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Poskytnuté preddavky   - CA 553AY</t>
  </si>
  <si>
    <t>Zaokrúhlené
(brutto)</t>
  </si>
  <si>
    <t>Prevod z účtu na účet</t>
  </si>
  <si>
    <t>Účtovná hodnota</t>
  </si>
  <si>
    <t>Príjmy budúcich období krátkodobé ( 385A )</t>
  </si>
  <si>
    <t>33</t>
  </si>
  <si>
    <t>Bankové úvery</t>
  </si>
  <si>
    <t>Zaokrúhlené
(sledované)</t>
  </si>
  <si>
    <t>V.</t>
  </si>
  <si>
    <t>C.</t>
  </si>
  <si>
    <t>668</t>
  </si>
  <si>
    <t>K.</t>
  </si>
  <si>
    <t>056</t>
  </si>
  <si>
    <t>Ostatné pohľadávky  - obedy prefaktur.</t>
  </si>
  <si>
    <t>524001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</si>
  <si>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</si>
  <si>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</si>
  <si>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</si>
  <si>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</si>
  <si>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</si>
  <si>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314024</t>
  </si>
  <si>
    <t>461002</t>
  </si>
  <si>
    <t>378</t>
  </si>
  <si>
    <t>Výnosy z nehnuteľnosti na predaj</t>
  </si>
  <si>
    <t>501003</t>
  </si>
  <si>
    <t>321006</t>
  </si>
  <si>
    <t>Účty v bankách ( 221A, 22X +/-261 )</t>
  </si>
  <si>
    <t>Krátkodobé záväzky spolu</t>
  </si>
  <si>
    <t>Ostatné pohľadávky</t>
  </si>
  <si>
    <t>343810</t>
  </si>
  <si>
    <t>B.</t>
  </si>
  <si>
    <t>Majetok vykázaný v súvahe</t>
  </si>
  <si>
    <t>Daň</t>
  </si>
  <si>
    <t>341002</t>
  </si>
  <si>
    <t>B. II. 1.</t>
  </si>
  <si>
    <t>Základné imanie</t>
  </si>
  <si>
    <t>19</t>
  </si>
  <si>
    <t>070</t>
  </si>
  <si>
    <t>B. I.</t>
  </si>
  <si>
    <t>Mesačný obrat
Má dať</t>
  </si>
  <si>
    <t>568001</t>
  </si>
  <si>
    <t>648</t>
  </si>
  <si>
    <t>213002</t>
  </si>
  <si>
    <t>641000</t>
  </si>
  <si>
    <t>662</t>
  </si>
  <si>
    <t>343923</t>
  </si>
  <si>
    <t>261001</t>
  </si>
  <si>
    <t>032</t>
  </si>
  <si>
    <t>221011</t>
  </si>
  <si>
    <t>054</t>
  </si>
  <si>
    <t>459001</t>
  </si>
  <si>
    <t>Daňové pohľadávky a dotácie</t>
  </si>
  <si>
    <t>314007</t>
  </si>
  <si>
    <t>Krátkodobé pohľadávky spolu</t>
  </si>
  <si>
    <t>10</t>
  </si>
  <si>
    <t>604001</t>
  </si>
  <si>
    <t>100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</si>
  <si>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</si>
  <si>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</si>
  <si>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</si>
  <si>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</si>
  <si>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Zákonný rezervný fond</t>
  </si>
  <si>
    <t>663</t>
  </si>
  <si>
    <t>iný obchod</t>
  </si>
  <si>
    <t>012</t>
  </si>
  <si>
    <t>Základ dane</t>
  </si>
  <si>
    <t>502001</t>
  </si>
  <si>
    <t>548000</t>
  </si>
  <si>
    <t>B. II.</t>
  </si>
  <si>
    <t>Záväzky r. 102 + r. 118 + r. 121 + r. 122 + r.136 + r. 139 + r. 140</t>
  </si>
  <si>
    <t>Zaúčtovaná do vlastného imania</t>
  </si>
  <si>
    <t>568099</t>
  </si>
  <si>
    <t>Zmena stavu vnútroorganizačných zásob (+/-) (účtovná skupina 61)</t>
  </si>
  <si>
    <t>Z. z., ktorou sa vydáva Štatistická klasifikácia ekonomických činností.</t>
  </si>
  <si>
    <t>342001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</si>
  <si>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</si>
  <si>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</si>
  <si>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</si>
  <si>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</si>
  <si>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</si>
  <si>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</si>
  <si>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</si>
  <si>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</si>
  <si>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</si>
  <si>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</si>
  <si>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</si>
  <si>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Obstaranie dlhodobého hmot majetku</t>
  </si>
  <si>
    <t>059</t>
  </si>
  <si>
    <t>Ostatné výnosy z kratkodobého finančného majetku (666A)</t>
  </si>
  <si>
    <t>16</t>
  </si>
  <si>
    <t>J.</t>
  </si>
  <si>
    <t>Do splatnosti  od troch rokov do piatich rokov vrátane</t>
  </si>
  <si>
    <t>Náklady na reprezentáciu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</si>
  <si>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</si>
  <si>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</si>
  <si>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</si>
  <si>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</si>
  <si>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314004</t>
  </si>
  <si>
    <t>4.</t>
  </si>
  <si>
    <t>Rozdelenie účtovného zisku</t>
  </si>
  <si>
    <t>474014</t>
  </si>
  <si>
    <t>Výnosy z dlhodobého finančného majetku súčet (r.32 až r.34)</t>
  </si>
  <si>
    <t>Stav v minulom
účtovnom období</t>
  </si>
  <si>
    <t>211003</t>
  </si>
  <si>
    <t>501010</t>
  </si>
  <si>
    <t>13</t>
  </si>
  <si>
    <t>Účet</t>
  </si>
  <si>
    <t>088</t>
  </si>
  <si>
    <t>Odberatelia</t>
  </si>
  <si>
    <t>079</t>
  </si>
  <si>
    <t>07</t>
  </si>
  <si>
    <t>A.  I. 1.</t>
  </si>
  <si>
    <t>Ostatná tvorba sociálneho fondu</t>
  </si>
  <si>
    <t>Ceniny  - lístky</t>
  </si>
  <si>
    <t>1.b.</t>
  </si>
  <si>
    <t>501005</t>
  </si>
  <si>
    <t>642</t>
  </si>
  <si>
    <t>314009</t>
  </si>
  <si>
    <t>Tržby z predaja dlhodobého NM, dlhodobého HM a materiálu (641,642)</t>
  </si>
  <si>
    <t>413000</t>
  </si>
  <si>
    <t>543001</t>
  </si>
  <si>
    <t>Za bezprostredne predchádzajúce účtovné obdobie</t>
  </si>
  <si>
    <t>Zúčtovanie OP z dôvodu vyradenia majetku 
z účtovníctva</t>
  </si>
  <si>
    <t>Mzdové náklady</t>
  </si>
  <si>
    <t>002</t>
  </si>
  <si>
    <t>Dlhodobé pohľadávky</t>
  </si>
  <si>
    <t>Mzdové náklady ( 521, 522 )</t>
  </si>
  <si>
    <t>28</t>
  </si>
  <si>
    <t>18. Informácie k časti  F. písm. x) prílohy č. 3 o vývoji opravnej položky ku krátkodobému finančnému majetku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</si>
  <si>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</si>
  <si>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</si>
  <si>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</si>
  <si>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</si>
  <si>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</si>
  <si>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Poskytnuté preddavky   - CA 818 CN</t>
  </si>
  <si>
    <t>527099</t>
  </si>
  <si>
    <t>Dlhodobý finančný majetok spolu</t>
  </si>
  <si>
    <t>Poskytnuté preddavky   -  CA 219BJ</t>
  </si>
  <si>
    <t>Ostatné pohľadávky  - poistné prefaktur.</t>
  </si>
  <si>
    <t>531001</t>
  </si>
  <si>
    <t>I.</t>
  </si>
  <si>
    <t>Tovar ( 132,133,13X,139 ) - /196,19X/</t>
  </si>
  <si>
    <t>06</t>
  </si>
  <si>
    <t>Výnosové úroky (r.40 + r.41)</t>
  </si>
  <si>
    <t>563001</t>
  </si>
  <si>
    <t>Oprávky k stavbám</t>
  </si>
  <si>
    <t>343823</t>
  </si>
  <si>
    <t>Sklad materiálu</t>
  </si>
  <si>
    <t>Odpisy dlhodob.nehmot.a hmot.majetku</t>
  </si>
  <si>
    <t>III.</t>
  </si>
  <si>
    <t>213001</t>
  </si>
  <si>
    <t>Suma odloženej dani z príjmov, ktorá sa vzťahuje na položky účtované priamo na účty vlastného imania bez účtovania na účty nákladov a výnosov</t>
  </si>
  <si>
    <t>DPH - uhrada, vrátenie</t>
  </si>
  <si>
    <t>N.</t>
  </si>
  <si>
    <t>Obstarávaný dlhodobý nehmotný majetok  ( 041 ) - 093</t>
  </si>
  <si>
    <t>a počet riadkov v nich uvádzajú podľa potrieb účtovnej jednotky.</t>
  </si>
  <si>
    <t>Služby (účtovná skupina 51)</t>
  </si>
  <si>
    <t>29</t>
  </si>
  <si>
    <t>518002</t>
  </si>
  <si>
    <t>daňové poradenstvo</t>
  </si>
  <si>
    <t>Prevod valút</t>
  </si>
  <si>
    <t>314001</t>
  </si>
  <si>
    <t>017</t>
  </si>
  <si>
    <t>548009</t>
  </si>
  <si>
    <t>Suma istiny v príslušnej mene za bežné účtovné obdobie</t>
  </si>
  <si>
    <t>P.</t>
  </si>
  <si>
    <t>výsledok hospodárenia</t>
  </si>
  <si>
    <t>Kurzové zisky (663)</t>
  </si>
  <si>
    <t>11. Informácie k časti F. písm. o) prílohy č. 3 o opravných položkách k zásobám</t>
  </si>
  <si>
    <t>Časové rozlíšenie súčet (r. 142 až r. 145)</t>
  </si>
  <si>
    <t>315001</t>
  </si>
  <si>
    <t>Ostatné záväzky z obchodného styku (321A,475A,476A)</t>
  </si>
  <si>
    <t>Náklady na zákazkovú výrobu</t>
  </si>
  <si>
    <t>Stavby</t>
  </si>
  <si>
    <t>461</t>
  </si>
  <si>
    <t>211004</t>
  </si>
  <si>
    <t>249</t>
  </si>
  <si>
    <t>611</t>
  </si>
  <si>
    <t>Prevod podielov na výsledku hospodárenia spoločníkom (+/-) (596)</t>
  </si>
  <si>
    <t>121</t>
  </si>
  <si>
    <t>068</t>
  </si>
  <si>
    <t>Presuny</t>
  </si>
  <si>
    <t>Ostatné krátkodobé finančné výpomoci</t>
  </si>
  <si>
    <t>Dodávatelia - zahraničné</t>
  </si>
  <si>
    <t>Dlhodobé rezervy, z toho:</t>
  </si>
  <si>
    <t>383</t>
  </si>
  <si>
    <t>Ceniny - obedy</t>
  </si>
  <si>
    <t>132</t>
  </si>
  <si>
    <t>Záväzky zo sociálneho poistenia ( 336A )</t>
  </si>
  <si>
    <t>545001</t>
  </si>
  <si>
    <t>568</t>
  </si>
  <si>
    <t>Obstarávaný DFM na účely vykonania vplyvu v inej ÚJ</t>
  </si>
  <si>
    <t>25</t>
  </si>
  <si>
    <t>378003</t>
  </si>
  <si>
    <t>Zaokrúhlené
(minulé)</t>
  </si>
  <si>
    <t>Daň z príjmov z bež. čin. - úroky</t>
  </si>
  <si>
    <t>1.c.</t>
  </si>
  <si>
    <t>611000</t>
  </si>
  <si>
    <t>Náklady na krátkodobý finančný majetok (566)</t>
  </si>
  <si>
    <t>Sumár od začiatku zákazkovej výroby až do konca bežného účtovného obdobia</t>
  </si>
  <si>
    <t>VII.</t>
  </si>
  <si>
    <t>5.</t>
  </si>
  <si>
    <t>Účtovná strata</t>
  </si>
  <si>
    <t>Náklady na precenenie cenných papierov a náklady na derivátové operácie (564,567)</t>
  </si>
  <si>
    <t>005</t>
  </si>
  <si>
    <t>Podiel ÚJ na hlasovacích právach v %</t>
  </si>
  <si>
    <t>PHM - BENZÍN</t>
  </si>
  <si>
    <t>Peniaze na ceste</t>
  </si>
  <si>
    <t>Opravy a udržovanie</t>
  </si>
  <si>
    <t>035</t>
  </si>
  <si>
    <t>ZI – základné imanie</t>
  </si>
  <si>
    <t>131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</si>
  <si>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</si>
  <si>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</si>
  <si>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</si>
  <si>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601</t>
  </si>
  <si>
    <t>641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</si>
  <si>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</si>
  <si>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</si>
  <si>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</si>
  <si>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</si>
  <si>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</si>
  <si>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</si>
  <si>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042003</t>
  </si>
  <si>
    <t>Odberatelia  PLN</t>
  </si>
  <si>
    <t>336002</t>
  </si>
  <si>
    <t>Výnosy z kratkodobého finančného majetku od prepojených ÚJ (666A)</t>
  </si>
  <si>
    <t>Finančný náklad</t>
  </si>
  <si>
    <t>Poskytnuté preddavky   - CA 625AS</t>
  </si>
  <si>
    <t>Plyn</t>
  </si>
  <si>
    <t>Stavby ( 021 ) - / 081, 092A/</t>
  </si>
  <si>
    <t>08</t>
  </si>
  <si>
    <t xml:space="preserve">Iné </t>
  </si>
  <si>
    <t>21</t>
  </si>
  <si>
    <t>044</t>
  </si>
  <si>
    <t>Ostatné rezervy</t>
  </si>
  <si>
    <t>Ostatné nákladové úroky ( 562A )</t>
  </si>
  <si>
    <t>Názov účtu</t>
  </si>
  <si>
    <t>Hospodársky výsledok v schval. konaní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</si>
  <si>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</si>
  <si>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</si>
  <si>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</si>
  <si>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</si>
  <si>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</si>
  <si>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</si>
  <si>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</si>
  <si>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</si>
  <si>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</si>
  <si>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</si>
  <si>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</si>
  <si>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</si>
  <si>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</si>
  <si>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</si>
  <si>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</si>
  <si>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</si>
  <si>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</si>
  <si>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</si>
  <si>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</si>
  <si>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</si>
  <si>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</si>
  <si>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</si>
  <si>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336</t>
  </si>
  <si>
    <t>32</t>
  </si>
  <si>
    <t>601000</t>
  </si>
  <si>
    <t>01</t>
  </si>
  <si>
    <t>II.</t>
  </si>
  <si>
    <t>015</t>
  </si>
  <si>
    <t>Stav OP na konci účtovného obdobia</t>
  </si>
  <si>
    <t>pohľadávky</t>
  </si>
  <si>
    <t>663001</t>
  </si>
  <si>
    <t>23</t>
  </si>
  <si>
    <t>Splatnosť</t>
  </si>
  <si>
    <t>Hrubý zisk / hrubá strata</t>
  </si>
  <si>
    <t>428001</t>
  </si>
  <si>
    <t>504</t>
  </si>
  <si>
    <t>221003</t>
  </si>
  <si>
    <t>Zásoby súčet (r. 035 až r.040)</t>
  </si>
  <si>
    <t>Možnosť umorovať daňovú stratu v budúcnosti</t>
  </si>
  <si>
    <t>512</t>
  </si>
  <si>
    <t>Hodnota pohľadávok, na ktoré sa zriadilo záložné právo</t>
  </si>
  <si>
    <t>MAJETOK</t>
  </si>
  <si>
    <t>Čistý obrat (časť účt.tr. 6 podľa zákona)</t>
  </si>
  <si>
    <t>Popis</t>
  </si>
  <si>
    <t>40</t>
  </si>
  <si>
    <t>Poskytnuté preddavky na DFM</t>
  </si>
  <si>
    <t>A.III. 1.</t>
  </si>
  <si>
    <t>221005</t>
  </si>
  <si>
    <t>314006</t>
  </si>
  <si>
    <t>Záväzky z obch.styku v rámci pod.účasti okrem záv.voči prep.ÚJ (321A,475A,476A)</t>
  </si>
  <si>
    <t>V lehote splatnosti</t>
  </si>
  <si>
    <t>Výstup služby - daň platí príjemca  - Sl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</si>
  <si>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</si>
  <si>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</si>
  <si>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</si>
  <si>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</si>
  <si>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Ostatné služby</t>
  </si>
  <si>
    <t>Ostatné finančné výnosy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</si>
  <si>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</si>
  <si>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</si>
  <si>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</si>
  <si>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</si>
  <si>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r>
      <t>Krátkodobé finančné výpomoci</t>
    </r>
    <r>
      <rPr>
        <sz val="8"/>
        <color theme="1"/>
        <rFont val="Arial"/>
        <family val="2"/>
      </rPr>
      <t> </t>
    </r>
  </si>
  <si>
    <t>009</t>
  </si>
  <si>
    <t>053</t>
  </si>
  <si>
    <t>Ostatné náklady na hospodársku činnosť (543,544,545,546,548,549,555,557)</t>
  </si>
  <si>
    <t>Ostatné pohľ. v rámci podielovej účasti okrem pohľ.voči prep.ÚJ  (351A) - /391A/</t>
  </si>
  <si>
    <t>112002</t>
  </si>
  <si>
    <t>016</t>
  </si>
  <si>
    <t>Cestovné</t>
  </si>
  <si>
    <t>58</t>
  </si>
  <si>
    <t>Časové rozlíšenie súčet r. 075 až r.078</t>
  </si>
  <si>
    <t>025</t>
  </si>
  <si>
    <t>45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</si>
  <si>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</si>
  <si>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</si>
  <si>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</si>
  <si>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</si>
  <si>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</si>
  <si>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Bankové účty</t>
  </si>
  <si>
    <t>52</t>
  </si>
  <si>
    <t>59</t>
  </si>
  <si>
    <t>532001</t>
  </si>
  <si>
    <t>Krátkodobé rezervy r.137 +r.138</t>
  </si>
  <si>
    <t>Úroky</t>
  </si>
  <si>
    <t>47</t>
  </si>
  <si>
    <t>Poskytnuté preddavky   - CA 375 CJ</t>
  </si>
  <si>
    <t>Odpisy dlhodobého nehmot.a hmot.majetku</t>
  </si>
  <si>
    <t>Ostatné výnosy z hospodárskej činnosti</t>
  </si>
  <si>
    <t>Ostatné výnosy z cenných papierov a podielov (665 A)</t>
  </si>
  <si>
    <t>60</t>
  </si>
  <si>
    <t>Dlhodobé pohľadávky spolu</t>
  </si>
  <si>
    <t>501099</t>
  </si>
  <si>
    <t>321005</t>
  </si>
  <si>
    <t>120</t>
  </si>
  <si>
    <t>do jedného roka vrátane</t>
  </si>
  <si>
    <t>Možnosť previesť nevyužité daňové odpočty</t>
  </si>
  <si>
    <t>Poskytnuté preddavky   - CA 255BD</t>
  </si>
  <si>
    <t>Bankové úvery  - ČSOB 6444/11/08656</t>
  </si>
  <si>
    <t>Poskytnuté preddavky</t>
  </si>
  <si>
    <t>Dlhodobé pohľadávky súčet (r.042 + r.046 až r.052)</t>
  </si>
  <si>
    <t>058</t>
  </si>
  <si>
    <t>Odložený daňový záväzoka pohľadávka</t>
  </si>
  <si>
    <t>221</t>
  </si>
  <si>
    <t>662001</t>
  </si>
  <si>
    <t>602000</t>
  </si>
  <si>
    <t>Odložená daňová pohľadávka</t>
  </si>
  <si>
    <t>073</t>
  </si>
  <si>
    <t>Výrobky ( 123 ) - /194/</t>
  </si>
  <si>
    <t>Dotácie zo štátneho rozpočtu</t>
  </si>
  <si>
    <t>099</t>
  </si>
  <si>
    <t>140</t>
  </si>
  <si>
    <t>Dlhodobý nehmotný majetok  súčet (r.004 až 010)</t>
  </si>
  <si>
    <t>Poskytnuté preddavky na zásoby ( 314A ) - /391A/</t>
  </si>
  <si>
    <r>
      <t>Dlhodobé pôžičky</t>
    </r>
    <r>
      <rPr>
        <sz val="8"/>
        <color theme="1"/>
        <rFont val="Arial"/>
        <family val="2"/>
      </rPr>
      <t> </t>
    </r>
  </si>
  <si>
    <t>592</t>
  </si>
  <si>
    <t>XI.</t>
  </si>
  <si>
    <t>úradom Slovenskej republiky.</t>
  </si>
  <si>
    <t>037</t>
  </si>
  <si>
    <t>Mesačný obrat
Dal</t>
  </si>
  <si>
    <t>521001</t>
  </si>
  <si>
    <t>Celkový obrat
Dal</t>
  </si>
  <si>
    <t>Tržby z predaja služieb</t>
  </si>
  <si>
    <t>kons. – konsolidovaný</t>
  </si>
  <si>
    <t>Zostatková hodnota</t>
  </si>
  <si>
    <t>261003</t>
  </si>
  <si>
    <t>Dlhové CP držané 
do splatnosti</t>
  </si>
  <si>
    <t>052</t>
  </si>
  <si>
    <t>DPH z Fínska</t>
  </si>
  <si>
    <t>Opravné položky k zásobám (+/-) (505)</t>
  </si>
  <si>
    <t>Náklady vynaložené na obstaranie predaného tovaru ( 504, 507)</t>
  </si>
  <si>
    <t>obchodné zastúpenie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</si>
  <si>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</si>
  <si>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</si>
  <si>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</si>
  <si>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</si>
  <si>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</si>
  <si>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481001</t>
  </si>
  <si>
    <t>085</t>
  </si>
  <si>
    <t>076</t>
  </si>
  <si>
    <t>511001</t>
  </si>
  <si>
    <t>562014</t>
  </si>
  <si>
    <t>Úhrada straty spoločníkmi</t>
  </si>
  <si>
    <t>BS,015,B</t>
  </si>
  <si>
    <t>34. Informácie k časti I. prílohy č. 3 o nákladoch voči audítorovi, audítorskej spoločnosti</t>
  </si>
  <si>
    <t>PHM - NAFTA</t>
  </si>
  <si>
    <t>Celkový obrat
Má dať</t>
  </si>
  <si>
    <t>Pohľadávky z obchodného styku súčet (r. 055 až r. 057)</t>
  </si>
  <si>
    <t>345</t>
  </si>
  <si>
    <t>Spotreba materiálu,energie a ostatných neskladovateľných dodávok (501,502,503)</t>
  </si>
  <si>
    <t>Netto v minulom
účtovnom období</t>
  </si>
  <si>
    <t>Softvér</t>
  </si>
  <si>
    <t>326001</t>
  </si>
  <si>
    <t>Záväzky z prenájmu</t>
  </si>
  <si>
    <t>Nerozdelený zisk minulých rokov</t>
  </si>
  <si>
    <t>472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</si>
  <si>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</si>
  <si>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</si>
  <si>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</si>
  <si>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</si>
  <si>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</si>
  <si>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</si>
  <si>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Označenie</t>
  </si>
  <si>
    <t>Zaokrúhlené
(netto)</t>
  </si>
  <si>
    <t>Rezervný fond na vlastné akcie a vlastné podiely ( 417A,421A )</t>
  </si>
  <si>
    <t>Zmena stavu vnútroorga-nizačných zásob vo výkaze ziskov a strát</t>
  </si>
  <si>
    <t>Poskytnuté preddavky   - mýto zálohy</t>
  </si>
  <si>
    <t>Použitie</t>
  </si>
  <si>
    <t>Zmena stavu vnútroorganizačných zásob</t>
  </si>
  <si>
    <t>Ostatné výnosy z hospodárskej činnosti (644,645,646,648,655,657)</t>
  </si>
  <si>
    <t>Do splatnosti viac ako päť rokov</t>
  </si>
  <si>
    <t>výpomoc</t>
  </si>
  <si>
    <t>A. I.1.</t>
  </si>
  <si>
    <t>Peniaze na ceste</t>
  </si>
  <si>
    <t>098</t>
  </si>
  <si>
    <t>Zaúčtovaná  ako náklad</t>
  </si>
  <si>
    <t>592000</t>
  </si>
  <si>
    <t>006</t>
  </si>
  <si>
    <t>Zrušenie</t>
  </si>
  <si>
    <t>BS,110,S</t>
  </si>
  <si>
    <t>221002</t>
  </si>
  <si>
    <t>34</t>
  </si>
  <si>
    <t>Sociálne poistenie ( 336A ) - /391A/</t>
  </si>
  <si>
    <t>Ostatné kapitálové fondy ( 413 )</t>
  </si>
  <si>
    <t>Poč.stav mesiaca
Dal</t>
  </si>
  <si>
    <t>321002</t>
  </si>
  <si>
    <t>Výsledok hospodárenia za účtovné obdobie po zdanení (+-)</t>
  </si>
  <si>
    <t>(2) Daňové identifikačné číslo (DIČ) sa vyplňuje, ak ho má účtovná jednotka pridelené.</t>
  </si>
  <si>
    <t>Dlhové cen.papiere a ostatný dlhodobý finančný majetok ( 065A,069A,06XA ) - /096A/</t>
  </si>
  <si>
    <t>Oceniteľné práva ( 014 ) - /074, 091A/</t>
  </si>
  <si>
    <t>Oceňovacie rozdiely z precenenia súčet (r. 094 až r. 096)</t>
  </si>
  <si>
    <t>Krátkodobý  finančný majetok</t>
  </si>
  <si>
    <t>Zaúčtovaná ako náklad</t>
  </si>
  <si>
    <t>ČSOB    - 4016358179/7500  -  PLN</t>
  </si>
  <si>
    <t>M.</t>
  </si>
  <si>
    <t xml:space="preserve">Suma prijatých preddavkov </t>
  </si>
  <si>
    <t>CP – cenný papier</t>
  </si>
  <si>
    <t>501001</t>
  </si>
  <si>
    <t>Začiatočný účet súvahový</t>
  </si>
  <si>
    <t>10.</t>
  </si>
  <si>
    <t>30. Informácie k časti G. písm. l) prílohy č. 3 o položkách zabezpečených derivátmi</t>
  </si>
  <si>
    <t>311002</t>
  </si>
  <si>
    <t>Obstaranie dlhodého nehmotného majetku</t>
  </si>
  <si>
    <t>Nevyfakturované dodávky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</si>
  <si>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</si>
  <si>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</si>
  <si>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</si>
  <si>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</si>
  <si>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</si>
  <si>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</si>
  <si>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</si>
  <si>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</si>
  <si>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</si>
  <si>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341001</t>
  </si>
  <si>
    <t>112</t>
  </si>
  <si>
    <t>Podiel ÚJ na ZI v  %</t>
  </si>
  <si>
    <t>Iné</t>
  </si>
  <si>
    <t>Zákonné sociálne poistenie</t>
  </si>
  <si>
    <t>063</t>
  </si>
  <si>
    <t>Dodávatelia - zahraničné  PLN</t>
  </si>
  <si>
    <t>343824</t>
  </si>
  <si>
    <t>Poč.stav k 1.1.
Má dať</t>
  </si>
  <si>
    <t>26. Informácie k časti G. písm. g) prílohy č. 3 o záväzkoch zo sociálneho fondu</t>
  </si>
  <si>
    <t>Dodávatelia</t>
  </si>
  <si>
    <t>648000</t>
  </si>
  <si>
    <t>081</t>
  </si>
  <si>
    <t>Budova južná prístavba  II. etapa</t>
  </si>
  <si>
    <t>Ostatné služby  - DPH CZK</t>
  </si>
  <si>
    <t>087</t>
  </si>
  <si>
    <t>X.1.</t>
  </si>
  <si>
    <t>Samostatné hnuteľné veci a súbory hnuteľných vecí (022) -/082, 092A/</t>
  </si>
  <si>
    <t>Dlhové CP držané do splatnosti spolu</t>
  </si>
  <si>
    <t>Nedokonč. výroba a polotovary (121,122, 12X) - /192,193,19X/</t>
  </si>
  <si>
    <t>Bankové účty  -0312033733/0900</t>
  </si>
  <si>
    <t>Aktivácia (účtovná skupina 62)</t>
  </si>
  <si>
    <t>077</t>
  </si>
  <si>
    <t>odpočítateľné</t>
  </si>
  <si>
    <t>221012</t>
  </si>
  <si>
    <t>117</t>
  </si>
  <si>
    <t>323</t>
  </si>
  <si>
    <t>Očakávané budúce obchody dosiaľ zmluvne nezabezpečené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</si>
  <si>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</si>
  <si>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</si>
  <si>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</si>
  <si>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</si>
  <si>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314003</t>
  </si>
  <si>
    <t>****</t>
  </si>
  <si>
    <t>042008</t>
  </si>
  <si>
    <t>Iné pohľadávky  - DPH PLN</t>
  </si>
  <si>
    <t>Odberatelia  CZK</t>
  </si>
  <si>
    <t>Kurzové straty</t>
  </si>
  <si>
    <t>Vyfakturované nároky za vykonanú prácu na zákazkovej výrobe</t>
  </si>
  <si>
    <t>Zmena stavu nedokončenej výroby</t>
  </si>
  <si>
    <t>54</t>
  </si>
  <si>
    <t>1.a.</t>
  </si>
  <si>
    <t>Dodávatelia - zahraničné - HUF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</si>
  <si>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</si>
  <si>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</si>
  <si>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</si>
  <si>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</si>
  <si>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</si>
  <si>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Odložený daňový záväzok a pohľadávka</t>
  </si>
  <si>
    <t>B.III.</t>
  </si>
  <si>
    <t>314011</t>
  </si>
  <si>
    <t>GL,PS,013,MD-D</t>
  </si>
  <si>
    <t>náklady za overenie individuálnej účtovnej závierky</t>
  </si>
  <si>
    <t>007</t>
  </si>
  <si>
    <t>139</t>
  </si>
  <si>
    <t>324001</t>
  </si>
  <si>
    <t>Základné imánie</t>
  </si>
  <si>
    <t>336005</t>
  </si>
  <si>
    <t>527</t>
  </si>
  <si>
    <t>Goodwill (015) - /075,091A/</t>
  </si>
  <si>
    <t>Materiál</t>
  </si>
  <si>
    <t>Oprávky k samostat.hnut.veciam a súborom</t>
  </si>
  <si>
    <t>C.   1.</t>
  </si>
  <si>
    <t>Čistá hodnota zákazky (316A)</t>
  </si>
  <si>
    <t>A. IV.</t>
  </si>
  <si>
    <t>031001</t>
  </si>
  <si>
    <t>Bezprostredne predchádzajúce účtovné obdobie</t>
  </si>
  <si>
    <t>Mena</t>
  </si>
  <si>
    <t>518400</t>
  </si>
  <si>
    <t>Ostatné finančné náklady</t>
  </si>
  <si>
    <t>Dary</t>
  </si>
  <si>
    <t>Pohľadávky z obchodného styku</t>
  </si>
  <si>
    <t>501006</t>
  </si>
  <si>
    <t>A.VI.1.</t>
  </si>
  <si>
    <t>Tvorba OP</t>
  </si>
  <si>
    <t>Ostatné služby  - DPH HUF</t>
  </si>
  <si>
    <t>428</t>
  </si>
  <si>
    <t>481</t>
  </si>
  <si>
    <t>Tvorba 
OP</t>
  </si>
  <si>
    <t>027</t>
  </si>
  <si>
    <t>Stav  OP na konci účtovného obdobia</t>
  </si>
  <si>
    <t>107</t>
  </si>
  <si>
    <t>582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</si>
  <si>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</si>
  <si>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</si>
  <si>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</si>
  <si>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</si>
  <si>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ČSOB    - 4005949475/7500  -  KONTOKOR.</t>
  </si>
  <si>
    <t>Konečný zostatok sociálneho fondu</t>
  </si>
  <si>
    <t>343819</t>
  </si>
  <si>
    <t>F.</t>
  </si>
  <si>
    <t>Účty v bankách s dobou viazanosti dhšou ako 1 rok (22XA)</t>
  </si>
  <si>
    <t>115</t>
  </si>
  <si>
    <t>Spotreba materiálu</t>
  </si>
  <si>
    <t>501060</t>
  </si>
  <si>
    <t>532</t>
  </si>
  <si>
    <t>30</t>
  </si>
  <si>
    <t>Zmena základného imania +/- 419</t>
  </si>
  <si>
    <t>17</t>
  </si>
  <si>
    <t>Q.</t>
  </si>
  <si>
    <t>poskytnutie služby</t>
  </si>
  <si>
    <t>Pôžičky v rámci podielovej účasti okrem prepojeným ÚJ (066A) - /096A/</t>
  </si>
  <si>
    <t>069</t>
  </si>
  <si>
    <t>Daň z príjmov splatná (591,595)</t>
  </si>
  <si>
    <t>Číslo 
riad.</t>
  </si>
  <si>
    <t>Zníženie hodnoty</t>
  </si>
  <si>
    <t>Ostatné pohľadávky  - ubytovanie prafakt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</si>
  <si>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</si>
  <si>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</si>
  <si>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</si>
  <si>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</si>
  <si>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</si>
  <si>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Poskytnuté preddavky   - CA 389AR</t>
  </si>
  <si>
    <t>Ostatné výnosové úroky (662A)</t>
  </si>
  <si>
    <t>Ostatné fondy ( 427, 42X )</t>
  </si>
  <si>
    <t>Výsledok hospodárenia pred  zdanením, z toho:</t>
  </si>
  <si>
    <t>Obchodné meno a sídlo spoločnosti, v ktorej má ÚJ umiestnený DFM</t>
  </si>
  <si>
    <t>040</t>
  </si>
  <si>
    <t>Ostatné dlhodobé zázäzky ( 479A, 47XA )</t>
  </si>
  <si>
    <t>Iné záväzky</t>
  </si>
  <si>
    <t>111</t>
  </si>
  <si>
    <t>Ostatné pôžičky (067A) - /096A/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</si>
  <si>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</si>
  <si>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</si>
  <si>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</si>
  <si>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</si>
  <si>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</si>
  <si>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</si>
  <si>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</si>
  <si>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Obstaranie materiálu</t>
  </si>
  <si>
    <t>R.</t>
  </si>
  <si>
    <t xml:space="preserve">22. Informácie k časti G. písm. a) tretiemu bodu prílohy č. 3 o rozdelení účtovného zisku alebo o vysporiadaní účtovnej straty </t>
  </si>
  <si>
    <t>314013</t>
  </si>
  <si>
    <t>Ostatné záväzky voči prepojeným ÚJ (361A,36XA,471A,47XA)</t>
  </si>
  <si>
    <t>11.</t>
  </si>
  <si>
    <t>Dlhodobé záväzky spolu</t>
  </si>
  <si>
    <t>E.</t>
  </si>
  <si>
    <t>314017</t>
  </si>
  <si>
    <t>045</t>
  </si>
  <si>
    <t>013001</t>
  </si>
  <si>
    <t>563</t>
  </si>
  <si>
    <t>Budova výstavba rok 2008</t>
  </si>
  <si>
    <t>27. Informácie k časti G. písm. h) prílohy č. 3 o vydaných dlhopisoch</t>
  </si>
  <si>
    <t>Do splatnosti od troch rokov do piatich rokov vrátane</t>
  </si>
  <si>
    <t>538001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</si>
  <si>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</si>
  <si>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</si>
  <si>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</si>
  <si>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</si>
  <si>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</si>
  <si>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</si>
  <si>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548</t>
  </si>
  <si>
    <t>Krátkodobý fin.maj.bez krátkod.fin.maj. v prepojených ÚJ (251A,253A,256A,257A,25XA) - /291A,29XA/</t>
  </si>
  <si>
    <t>Samostat. hnuteľné veci a súbory h. vecí</t>
  </si>
  <si>
    <t>Do splatnosti do jedného roka vrátane</t>
  </si>
  <si>
    <t>Reprezentačné</t>
  </si>
  <si>
    <t>538</t>
  </si>
  <si>
    <t>Oceniteľné práva</t>
  </si>
  <si>
    <t>Ostatné priame dane</t>
  </si>
  <si>
    <t>Ostatné služby  - DPH FI</t>
  </si>
  <si>
    <t>383001</t>
  </si>
  <si>
    <t>Kurzové zisky</t>
  </si>
  <si>
    <t>E.1.</t>
  </si>
  <si>
    <t>314015</t>
  </si>
  <si>
    <t>365001</t>
  </si>
  <si>
    <t>B.IV. 1.</t>
  </si>
  <si>
    <t>431001</t>
  </si>
  <si>
    <t>Suma prijatých preddavkov</t>
  </si>
  <si>
    <t>Poskytnuté preddavky   - CA 637BG</t>
  </si>
  <si>
    <t>61</t>
  </si>
  <si>
    <t>licencia</t>
  </si>
  <si>
    <t>501004</t>
  </si>
  <si>
    <t>11</t>
  </si>
  <si>
    <t>Ostatné dane a poplatky - daň z mot. voz</t>
  </si>
  <si>
    <t>Pokladnica   -  PLN</t>
  </si>
  <si>
    <t>Vyradenie pôžičky z účtovníctva 
v účtovnom období</t>
  </si>
  <si>
    <t>413</t>
  </si>
  <si>
    <t>091</t>
  </si>
  <si>
    <t>126</t>
  </si>
  <si>
    <t>021001</t>
  </si>
  <si>
    <t>343925</t>
  </si>
  <si>
    <t>Obstaranie dlhodobého nehmot.maj.</t>
  </si>
  <si>
    <t>048</t>
  </si>
  <si>
    <t>Prídel do štatutárnych a ostatných fondov</t>
  </si>
  <si>
    <t>022</t>
  </si>
  <si>
    <t>Splatná daň z príjmov</t>
  </si>
  <si>
    <t>DPH z Litvy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</si>
  <si>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</si>
  <si>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</si>
  <si>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</si>
  <si>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</si>
  <si>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</si>
  <si>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</si>
  <si>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342</t>
  </si>
  <si>
    <t>Vstup tovar - daň platí príjemca Slovák</t>
  </si>
  <si>
    <t>097</t>
  </si>
  <si>
    <t>Krátkodobé záväzky  súčet ( r. 123 + r. 127 až r. 135)</t>
  </si>
  <si>
    <t>Bankové účty - 0311647944/0900</t>
  </si>
  <si>
    <t>Odberatelia - zahraničné PLN</t>
  </si>
  <si>
    <t>042006</t>
  </si>
  <si>
    <t>211001</t>
  </si>
  <si>
    <t>378001</t>
  </si>
  <si>
    <t>604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</si>
  <si>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</si>
  <si>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</si>
  <si>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</si>
  <si>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</si>
  <si>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</si>
  <si>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</si>
  <si>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Predané cenné papiere a podiely (561)</t>
  </si>
  <si>
    <t>Hodnota za bežné účtovné obdobie</t>
  </si>
  <si>
    <t>Zabezpečovaná položka</t>
  </si>
  <si>
    <t>Dodávatelia - zahraničné - PLN</t>
  </si>
  <si>
    <t>314020</t>
  </si>
  <si>
    <t>**</t>
  </si>
  <si>
    <t>Zúčtovanie OP z dôvodu zániku opodstatnenosti</t>
  </si>
  <si>
    <t>551001</t>
  </si>
  <si>
    <t>543</t>
  </si>
  <si>
    <t>Emisný kurz</t>
  </si>
  <si>
    <t>39</t>
  </si>
  <si>
    <t>518300</t>
  </si>
  <si>
    <t>078</t>
  </si>
  <si>
    <t>331000</t>
  </si>
  <si>
    <t>075</t>
  </si>
  <si>
    <t>110</t>
  </si>
  <si>
    <t>Sadzba dane z príjmov ( v %)</t>
  </si>
  <si>
    <t>Hospodársky vyslekok v schval. konaní</t>
  </si>
  <si>
    <t>Zúčt. s inštitúciami soc. zabezpečenia</t>
  </si>
  <si>
    <t>311001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</si>
  <si>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</si>
  <si>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</si>
  <si>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</si>
  <si>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</si>
  <si>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</si>
  <si>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Poskytnuté preddavky   - CA 96738E</t>
  </si>
  <si>
    <t>008</t>
  </si>
  <si>
    <t>počet vedúcich zamestnancov</t>
  </si>
  <si>
    <t>Dlhodobý hmotný majetok súčet (r. 012 až 020)</t>
  </si>
  <si>
    <t>Obstaranie dlhodobého hmotného majetku</t>
  </si>
  <si>
    <t>641001</t>
  </si>
  <si>
    <t>***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</si>
  <si>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</si>
  <si>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</si>
  <si>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</si>
  <si>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</si>
  <si>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</si>
  <si>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042001</t>
  </si>
  <si>
    <t>PHM - z poľskej republiky</t>
  </si>
  <si>
    <t>2.</t>
  </si>
  <si>
    <t>50</t>
  </si>
  <si>
    <t>Vydané dlhopisy ( 473A/-/255A )</t>
  </si>
  <si>
    <t>6.</t>
  </si>
  <si>
    <t>Zostatok
Má dať</t>
  </si>
  <si>
    <t>Škody</t>
  </si>
  <si>
    <t>Pohľadávky voči dcérskej účtovnej jednotke a materskej účtovnej jednotke</t>
  </si>
  <si>
    <t>092</t>
  </si>
  <si>
    <t>518000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</si>
  <si>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</si>
  <si>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</si>
  <si>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</si>
  <si>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</si>
  <si>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311003</t>
  </si>
  <si>
    <t>010</t>
  </si>
  <si>
    <t>124</t>
  </si>
  <si>
    <t>042007</t>
  </si>
  <si>
    <t>Daň z príjmov z bež. čin. - splatná</t>
  </si>
  <si>
    <t>Úhrada straty minulých období</t>
  </si>
  <si>
    <t>127</t>
  </si>
  <si>
    <t>Uplatnená daňová pohľadávka</t>
  </si>
  <si>
    <t>Dcérske účtovné jednotky</t>
  </si>
  <si>
    <t>105</t>
  </si>
  <si>
    <t>Dlhodobé zmenky na úhradu ( 478A )</t>
  </si>
  <si>
    <t>Pokladnica   -  HUF</t>
  </si>
  <si>
    <t>314010</t>
  </si>
  <si>
    <t>Poskytnuté preddavky   - CA 208AX</t>
  </si>
  <si>
    <t>061</t>
  </si>
  <si>
    <t>Pozemky</t>
  </si>
  <si>
    <t>Podielové CP a podiely 
v spoločnosti
s podstatným
vplyvom</t>
  </si>
  <si>
    <t>Tržby za tovar</t>
  </si>
  <si>
    <t>524</t>
  </si>
  <si>
    <t>213</t>
  </si>
  <si>
    <t>Nákladové úroky na prepojené ÚJ ( 562A )</t>
  </si>
  <si>
    <t>001</t>
  </si>
  <si>
    <t>502</t>
  </si>
  <si>
    <t>Pohľadávky voči spoločníkom,členom a združeniu (354A,355A,358A,35XA,398A) -/391A/</t>
  </si>
  <si>
    <t>IX.1.</t>
  </si>
  <si>
    <t>431</t>
  </si>
  <si>
    <t>44</t>
  </si>
  <si>
    <t>Záväzky voči spoločníkom a združeniu ( 364, 365, 366, 367, 368, 398A, 478A, 479A)</t>
  </si>
  <si>
    <t>Ostatné náklady na hosp.činnosť</t>
  </si>
  <si>
    <t>15. Informácie k časti F. písm. s) prílohy č. 3 o  vekovej štruktúre pohľadávok</t>
  </si>
  <si>
    <t>Mýto CZK</t>
  </si>
  <si>
    <t>Zakladné stádo a ťažné zvieratá ( 026 ) - / 086, 092A/</t>
  </si>
  <si>
    <t>118</t>
  </si>
  <si>
    <t>Materiál na sklade</t>
  </si>
  <si>
    <t>Záväzky zo sociálneho fondu</t>
  </si>
  <si>
    <t>A. III.</t>
  </si>
  <si>
    <t>Náhradné diely na autá</t>
  </si>
  <si>
    <t>9. Informácie k časti F. písm. j) a l) prílohy č. 3 o dlhových CP držaných do splatnosti</t>
  </si>
  <si>
    <t>Výstup služby - daň platí príjemca</t>
  </si>
  <si>
    <t>Záväzky z obchodného styku súčet (r. 124 až r. 126)</t>
  </si>
  <si>
    <t>PHM - z maďarskej  republiky</t>
  </si>
  <si>
    <t>041001</t>
  </si>
  <si>
    <t>Tržby z predaja materiálu  -  predaj PHM</t>
  </si>
  <si>
    <t>311</t>
  </si>
  <si>
    <t>7.</t>
  </si>
  <si>
    <t>Krátkodobý finančný majetok súčet (r.067 až r.070)</t>
  </si>
  <si>
    <t>Tržby za tovar</t>
  </si>
  <si>
    <t>323001</t>
  </si>
  <si>
    <t>Výnosy z precenenia cenných papierov a výnosy z derivátových operácií (664,667)</t>
  </si>
  <si>
    <t>Zvieratá</t>
  </si>
  <si>
    <t>501020</t>
  </si>
  <si>
    <t>35</t>
  </si>
  <si>
    <t>Stav na začiatku účtovného obdobia</t>
  </si>
  <si>
    <t>36. Informácie k časti J.  písm. f) a g) prílohy č. 3 o daniach z príjmov</t>
  </si>
  <si>
    <t>341</t>
  </si>
  <si>
    <t/>
  </si>
  <si>
    <t>046</t>
  </si>
  <si>
    <t>Umorenie daňovej straty</t>
  </si>
  <si>
    <t>Sociálne poistenie</t>
  </si>
  <si>
    <t>459</t>
  </si>
  <si>
    <t>Výsledok hospodárenia za účtovné obdobie po zdanení (+/-) (r.56 - r.57 - r.60)</t>
  </si>
  <si>
    <t>Vlastné akcie a vlastné obchodné podiely (252)</t>
  </si>
  <si>
    <t>Ostatné závazky voči spoločníkom</t>
  </si>
  <si>
    <t>Stav  OP na začiatku účtovného obdobia</t>
  </si>
  <si>
    <t>Ostatné náklady na hospodársku činnosť</t>
  </si>
  <si>
    <t>42</t>
  </si>
  <si>
    <t>Deriváty určené na obchodovanie, z toho:</t>
  </si>
  <si>
    <t>Zvýšenie hodnoty</t>
  </si>
  <si>
    <t>055</t>
  </si>
  <si>
    <t>Výnosy budúcich období krátkodobé ( 384A )</t>
  </si>
  <si>
    <t>315003</t>
  </si>
  <si>
    <t>047</t>
  </si>
  <si>
    <t>108</t>
  </si>
  <si>
    <t>Tvorba</t>
  </si>
  <si>
    <t>Zásoby spolu</t>
  </si>
  <si>
    <t>Konečný zostatok</t>
  </si>
  <si>
    <t>Tržby za vlastné výrobky</t>
  </si>
  <si>
    <t>Výnosy z kratkodobého fin.majetku v podielovej účasti okrem výnosov prepojených ÚJ (666A)</t>
  </si>
  <si>
    <t>Nedokončená výroba</t>
  </si>
  <si>
    <t>Zákonné rezervy ( 323A, 451A )</t>
  </si>
  <si>
    <t>Dlhodobý nehmotný majetok, na ktorý je zriadené záložné právo</t>
  </si>
  <si>
    <t>Hodnota zákazkovej výstavby nehnuteľnosti určenej na predaj</t>
  </si>
  <si>
    <t>Krátkodobé rezervy</t>
  </si>
  <si>
    <t>343919</t>
  </si>
  <si>
    <t>Pohľadávky kryté záložným právom alebo inou formou zabezpečenia</t>
  </si>
  <si>
    <t>21. Informácie k časti F. písm. zc) prílohy č. 3 o majetku prenajatom formou finančného prenájmu</t>
  </si>
  <si>
    <t>042012</t>
  </si>
  <si>
    <t>129</t>
  </si>
  <si>
    <t>Vplyv ocenenia na vlastné imanie</t>
  </si>
  <si>
    <t>548012</t>
  </si>
  <si>
    <t>Dlhodobé prijaté preddavky ( 475A )</t>
  </si>
  <si>
    <t>133</t>
  </si>
  <si>
    <t>Opravné položky k pohľadávkam (+/-) (547)</t>
  </si>
  <si>
    <t>311005</t>
  </si>
  <si>
    <t>OP – opravná položka</t>
  </si>
  <si>
    <t>Daň z pridanej hodnoty</t>
  </si>
  <si>
    <t>321</t>
  </si>
  <si>
    <t>Ostatné pohľadávky voči prepojeným ÚJ ( 351A )-/391A/</t>
  </si>
  <si>
    <t>Iné pohľadávky (335A,336A,33XA,371A,374A,375A,378A)-/391A/</t>
  </si>
  <si>
    <t>315004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</si>
  <si>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</si>
  <si>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</si>
  <si>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</si>
  <si>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</si>
  <si>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096</t>
  </si>
  <si>
    <t>Bankové účty - 0312533578/0900  -  CZK</t>
  </si>
  <si>
    <t>Ostatné pokuty a penále</t>
  </si>
  <si>
    <t>Použité skratky:</t>
  </si>
  <si>
    <t>Príjmy budúcich období</t>
  </si>
  <si>
    <t>Opravná položka k nadobudnut.majetku  ( +/-097, +/-098 )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</si>
  <si>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</si>
  <si>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</si>
  <si>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</si>
  <si>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A.  I.</t>
  </si>
  <si>
    <t>Skutočnosť v účtovnom 
období sledovanom</t>
  </si>
  <si>
    <t>XIII.</t>
  </si>
  <si>
    <t>093</t>
  </si>
  <si>
    <t>591001</t>
  </si>
  <si>
    <t>G.1.</t>
  </si>
  <si>
    <t>Pohľ.z obch.styku v rámci pod.účasti okrem pohľ.voči prep.ÚJ (311A,312A,313A,314A,315A,31XA)-/391A/</t>
  </si>
  <si>
    <t>031</t>
  </si>
  <si>
    <t>249001</t>
  </si>
  <si>
    <t>023</t>
  </si>
  <si>
    <t>121001</t>
  </si>
  <si>
    <t>Odmeny členom orgánov spoločnosti a družstva ( 523 )</t>
  </si>
  <si>
    <t>314023</t>
  </si>
  <si>
    <t>421001</t>
  </si>
  <si>
    <t>Úprava nárokov podľa stupňa dokončenia alebo metódou nulového zisku</t>
  </si>
  <si>
    <t>066</t>
  </si>
  <si>
    <t>142</t>
  </si>
  <si>
    <t>067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</si>
  <si>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</si>
  <si>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</si>
  <si>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</si>
  <si>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</si>
  <si>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</si>
  <si>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</si>
  <si>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</si>
  <si>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</si>
  <si>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Výnosy zo zákazkovej výroby</t>
  </si>
  <si>
    <t>25. Informácie k časti F. písm. v) a časti G. písm. f) prílohy č. 3 o odloženej daňovej pohľadávke alebo o odloženom daňovom záväzku</t>
  </si>
  <si>
    <t>B.  I.</t>
  </si>
  <si>
    <t>504001</t>
  </si>
  <si>
    <t>Výnosové úroky od prepojených ÚJ (662A)</t>
  </si>
  <si>
    <t>súvisiace audítorské služby</t>
  </si>
  <si>
    <t>315002</t>
  </si>
  <si>
    <t>Výstup tuzemsko 19%</t>
  </si>
  <si>
    <t>122</t>
  </si>
  <si>
    <t>PHM - z  Nemecka</t>
  </si>
  <si>
    <t>060</t>
  </si>
  <si>
    <t>Tvorba sociálneho fondu na ťarchu nákladov</t>
  </si>
  <si>
    <t>314021</t>
  </si>
  <si>
    <t>501007</t>
  </si>
  <si>
    <t>019</t>
  </si>
  <si>
    <t>090</t>
  </si>
  <si>
    <t>104</t>
  </si>
  <si>
    <t>Záväzky so zostatkovou dobou splatnosti 
jeden rok až päť rokov</t>
  </si>
  <si>
    <t>221010</t>
  </si>
  <si>
    <t>20</t>
  </si>
  <si>
    <t>411</t>
  </si>
  <si>
    <t>SOCIALNA POISTOVŇA</t>
  </si>
  <si>
    <t>02</t>
  </si>
  <si>
    <t>Neobežný majetok r. 003+r.011+r.021</t>
  </si>
  <si>
    <t xml:space="preserve">Spolu </t>
  </si>
  <si>
    <t>081001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</si>
  <si>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</si>
  <si>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</si>
  <si>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</si>
  <si>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</si>
  <si>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</si>
  <si>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</si>
  <si>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</si>
  <si>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r>
      <t>Krátkodobé pôžičky</t>
    </r>
    <r>
      <rPr>
        <sz val="8"/>
        <color theme="1"/>
        <rFont val="Arial"/>
        <family val="2"/>
      </rPr>
      <t> </t>
    </r>
  </si>
  <si>
    <t>Záväzky z obchodného styku voči prepojeným ÚJ (321A,475A,476A)</t>
  </si>
  <si>
    <t xml:space="preserve">Výnosy zo zákazkovej výstavby nehnuteľnosti určenej na predaj </t>
  </si>
  <si>
    <t>Cestná daň</t>
  </si>
  <si>
    <t>064</t>
  </si>
  <si>
    <t>112001</t>
  </si>
  <si>
    <t>221009</t>
  </si>
  <si>
    <t>321003</t>
  </si>
  <si>
    <t>501050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</si>
  <si>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</si>
  <si>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</si>
  <si>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</si>
  <si>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</si>
  <si>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</si>
  <si>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Pestov. celky trvalých porastov ( 025 ) - / 085, 092A/</t>
  </si>
  <si>
    <t>Podielové CP a podiely v DÚJ</t>
  </si>
  <si>
    <t>343001</t>
  </si>
  <si>
    <t>Vlastné imanie r.081+r.085+r.086+r.087+r.090+r.093+r.097+r.100</t>
  </si>
  <si>
    <t>111001</t>
  </si>
  <si>
    <t>A.VI.</t>
  </si>
  <si>
    <t>Tržby z predaja hmot a nehmot.majetku</t>
  </si>
  <si>
    <t>Iné výnosy súvisiace s bežnou činnosťou</t>
  </si>
  <si>
    <t>Dom Teplička</t>
  </si>
  <si>
    <t>Spolu majetok r.002+r.033+r.074</t>
  </si>
  <si>
    <t>119</t>
  </si>
  <si>
    <t>3. Informácie k časti F. písm. c) prílohy č. 3 o dlhodobom nehmotnom majetku</t>
  </si>
  <si>
    <t>A.III.</t>
  </si>
  <si>
    <t>527001</t>
  </si>
  <si>
    <t>Daňovo neuznané náklady</t>
  </si>
  <si>
    <t>321001</t>
  </si>
  <si>
    <t>Korekcia v bežnom
účtovnom období</t>
  </si>
  <si>
    <t>511</t>
  </si>
  <si>
    <t>502002</t>
  </si>
  <si>
    <t>518200</t>
  </si>
  <si>
    <t>Prírastky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</si>
  <si>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</si>
  <si>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</si>
  <si>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</si>
  <si>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</si>
  <si>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</si>
  <si>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</si>
  <si>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028</t>
  </si>
  <si>
    <t>Názov syntetického účtu</t>
  </si>
  <si>
    <t>Rozdelenie podielu na zisku spoločníkom, členom</t>
  </si>
  <si>
    <t>429</t>
  </si>
  <si>
    <t>55</t>
  </si>
  <si>
    <t>Opravné položky</t>
  </si>
  <si>
    <t>Ostatný DHM</t>
  </si>
  <si>
    <t>Skutočnosť v účtovnom
období minulom</t>
  </si>
  <si>
    <t>346</t>
  </si>
  <si>
    <t>Iné pohľadávky</t>
  </si>
  <si>
    <t>IČO – identifikačné číslo organizácie</t>
  </si>
  <si>
    <t>513</t>
  </si>
  <si>
    <t>B. VI.</t>
  </si>
  <si>
    <t>Ostatné pokuty,penále a úroky z omešk.</t>
  </si>
  <si>
    <t>15</t>
  </si>
  <si>
    <t>071</t>
  </si>
  <si>
    <t>Náklady budúcich období</t>
  </si>
  <si>
    <t>331</t>
  </si>
  <si>
    <t>20. Informácie k časti F. písm.  za) prílohy č. 3 o ocenení krátkodobého finančného  majetku, ku dňu ku ktorému sa zostavuje účtovná závierka reálnou hodnotou</t>
  </si>
  <si>
    <t>562</t>
  </si>
  <si>
    <t>Prvotné ocenenie</t>
  </si>
  <si>
    <t>336003</t>
  </si>
  <si>
    <t>Pohľadávky</t>
  </si>
  <si>
    <t>Nedokončená výroba a polotovary vlastnej výroby</t>
  </si>
  <si>
    <t>642002</t>
  </si>
  <si>
    <t>057</t>
  </si>
  <si>
    <t>Výsledok hospodárenia za účtovné obdobie pred zdanením (+/-) (r.27+r.55)</t>
  </si>
  <si>
    <t>Záväzok vykázaný v súvahe</t>
  </si>
  <si>
    <t>PSČ – poštové smerovacie číslo</t>
  </si>
  <si>
    <t>Nehnuteľnosť na predaj</t>
  </si>
  <si>
    <t>záväzku</t>
  </si>
  <si>
    <t>Tžby z predaja služieb ( 602, 606 )</t>
  </si>
  <si>
    <t>391</t>
  </si>
  <si>
    <t>043</t>
  </si>
  <si>
    <t>Záväzky z obchodného styku voči prepojeným ÚJ (321A,322A,324A,325A,326A,32XA,475A,476A,478A,47XA)</t>
  </si>
  <si>
    <t>ČSOB    - 4001664691/7500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</si>
  <si>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</si>
  <si>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</si>
  <si>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</si>
  <si>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</si>
  <si>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</si>
  <si>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Budova severná prístavba  II. etapa</t>
  </si>
  <si>
    <t>14</t>
  </si>
  <si>
    <t>474</t>
  </si>
  <si>
    <t>Príjmy budúcich období dlhodobé ( 385A )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</si>
  <si>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</si>
  <si>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</si>
  <si>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</si>
  <si>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</si>
  <si>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648001</t>
  </si>
  <si>
    <t>029</t>
  </si>
  <si>
    <t>Náklady na hospodársku činnosť spolu r.11+r.12+r.13+r.14+r15+r.20+r.21+r.24+r.25+r.26</t>
  </si>
  <si>
    <t>Oprávky k softvéru</t>
  </si>
  <si>
    <t>VIII.</t>
  </si>
  <si>
    <t>Výnosy z cenných papierov a podielov od prepojených ÚJ (665 A)</t>
  </si>
  <si>
    <t>378002</t>
  </si>
  <si>
    <t>VI.</t>
  </si>
  <si>
    <t>18</t>
  </si>
  <si>
    <t>Nerozdelený zisk z minulých rokov ( 428 )</t>
  </si>
  <si>
    <t>*</t>
  </si>
  <si>
    <t>Obstarávaný dlhodobý hmotný majetok ( 042 ) - /094/</t>
  </si>
  <si>
    <t>Iné dlhodobé záväzky ( 336A, 372A, 474A, 47XA)</t>
  </si>
  <si>
    <t>314</t>
  </si>
  <si>
    <t>od jedného roka do piatich rokov vrátane</t>
  </si>
  <si>
    <t>Prevod do neuhradenej straty minulých rokov</t>
  </si>
  <si>
    <t>ÚJ – účtovná jednotka</t>
  </si>
  <si>
    <t>Iné pohľadávky  - DPH CZK</t>
  </si>
  <si>
    <t>a/   Obchodné meno a sídlo spoločnosti:</t>
  </si>
  <si>
    <t xml:space="preserve">Promont, s.r.o. </t>
  </si>
  <si>
    <t>Krásno nad Kysucou 1961, 023 02</t>
  </si>
  <si>
    <t xml:space="preserve">Dátum  založenia :          03.04.2002     </t>
  </si>
  <si>
    <t>Dátum vzniku spoločnosti :  26.04.2002</t>
  </si>
  <si>
    <t>Zapísaná  v OR  Okresného súdu Žilina , oddiel Sro :  , vložka  13545/L</t>
  </si>
  <si>
    <t>b/   Hlavnými činnosťami spoločnosti sú:</t>
  </si>
  <si>
    <t>1/Výroba kovových konštrukcií a ich   častí</t>
  </si>
  <si>
    <t>2/Spracovanie a povrchová úprava kovov</t>
  </si>
  <si>
    <t>3/Zámočníctvo</t>
  </si>
  <si>
    <t>4/Montáž oceľových konštrukcií</t>
  </si>
  <si>
    <t xml:space="preserve">c/    Priemerný počet zamestnancov </t>
  </si>
  <si>
    <t xml:space="preserve">Počet zamestnancov je uvedený v tabuľke č. 1 </t>
  </si>
  <si>
    <t>d/    Právny dôvod na zostavenie účtovnej závierky</t>
  </si>
  <si>
    <t xml:space="preserve"> Účtovná závierka Spoločnosti k 31. decembru 2013 je zostavená ako riadna účtovná závierka podľa § 17 ods. 6 zákona NR SR č. 431/2002 Z. z. o účtovníctve, za účtovné obdobieod 1. januára 2013 do 31. decembra  2013 . </t>
  </si>
  <si>
    <t>e/    Štruktúra spoločníkov:</t>
  </si>
  <si>
    <t>Pavol Masnica</t>
  </si>
  <si>
    <t>výška podiel na základnom imaní:</t>
  </si>
  <si>
    <t xml:space="preserve">  -absolútne      1.327.757,- EUR</t>
  </si>
  <si>
    <t xml:space="preserve">  -v percentách   100%</t>
  </si>
  <si>
    <t xml:space="preserve">Podiel na hlasovacích právach: 100% </t>
  </si>
  <si>
    <t>Odpisovanie:</t>
  </si>
  <si>
    <t>Odpisovanie majetku je v Spoločnosti riadené postupom podrobne popísanom v Smernici pre vedenie účtovníctva.</t>
  </si>
  <si>
    <t>Odpisy dlhodobého nehmotného majetku sú stanovené vychádzajúc z predpokladanej doby jeho používania a predpokladaného priebehu jeho opotrebenia. Drobný dlhodobý nehmotný majetok, ktorého obstarávacia cena (resp. vlastné  náklady) je 2.400 EUR a nižšia sa odpisuje jednorazvovo pri uvedení do používania.</t>
  </si>
  <si>
    <t>Predpokladaná doba použíania, metóda odpisovania a sadzba odpisov:</t>
  </si>
  <si>
    <t>softvér: predpokladaná doba užívania 4 roky, metóda odpisovania lineárna, ročná odpisová sadzba v % 25</t>
  </si>
  <si>
    <t xml:space="preserve">Odpisy dlhodobého hmotného majetku sú stanovené vychádzajúc z predpokladanej doby jeho používania a predpokladaného priebehu jeho opotrebovania. Odpisovať sa začína v mesiaci uvedenia  dlhodobého majetku do používania. </t>
  </si>
  <si>
    <t xml:space="preserve">Drobný dlhodobý hmotný majetok, ktorého obstarávacia cena (resp. vlastné náklady) je 1 700 EUR a nižšia  sa účtuje priamo do nákladov na účet 501002.      </t>
  </si>
  <si>
    <t>Technické zhodnotenie dlhodobého hmotného majetku nie je technickým zhodnotením, ak neprevyšuje v úhrne za účtovné obdobie sumu 1700 EUR. V priebehu roka tento majetok účtuje Spoločnosť na účte 042001 a ku koncu roka ( alebo ak je to z povahy technického zhodnotenia zrejmé aj skôr ) ho podľa celkovej sumy buď preúčtuje do nákladov 501001 alebo priradí k pôvodnému majetku ako technické zhodnotenie.</t>
  </si>
  <si>
    <t xml:space="preserve">Drobný dlhodobý hmotný majetok, ktorého obstarávacia cena (resp. vlastné náklady) 1 700 EUR a nižšia a doba použitia je menej ako 1 rok, sa odpisuje jednorazovo pri uvedení do používania (ako zásoby po vyskladnení na účet 501).  Pozemky sa neodpisujú. </t>
  </si>
  <si>
    <t>Predpokladaná doba používania, metóda odpisovania a sadzba odpisov :</t>
  </si>
  <si>
    <t xml:space="preserve">stavby: predpokladaná doba užívania </t>
  </si>
  <si>
    <t xml:space="preserve">        20 rokokov, </t>
  </si>
  <si>
    <t xml:space="preserve">        metóda odpisovania zrýchlený</t>
  </si>
  <si>
    <t>stroje, prístroje a zariadenia:</t>
  </si>
  <si>
    <t xml:space="preserve">        predpokladaná doba užívania </t>
  </si>
  <si>
    <t xml:space="preserve">        4-12 rokov, </t>
  </si>
  <si>
    <t xml:space="preserve">        metóda odpisovania lineárna,</t>
  </si>
  <si>
    <t xml:space="preserve">        ročná odpisová sadzba v % 12,5-25</t>
  </si>
  <si>
    <t>dopravné prostriedky:</t>
  </si>
  <si>
    <t xml:space="preserve">        4 roky, </t>
  </si>
  <si>
    <t xml:space="preserve">        ročná odpisová sadzba v % 25</t>
  </si>
  <si>
    <t xml:space="preserve">Pohľadávky sa pri ich vzniku oceňujú ich menovitou hodnotou; postúpené pohľadávky oceňuje obstarávacou cenou, vrátane nákladov súvisiacich s obstaraním. Zníženie ich hodnoty ( platobná neschopnosť, omeškanie platieb , významné finančné problémy dlžníka sú podkladom toho, že pohľadávka z obchodného styku je znehodnotená) Spoločnosť vyjadruje opravnou položkou. </t>
  </si>
  <si>
    <t xml:space="preserve"> 3.    Spoločnosť prehodnocuje ku koncu bežného obdobia výšku opravných položiek evidovaných v účtovníctve Spoločnosti a na základe poznania stavu jednotlivých dlžníkov ako i miery rizika spresňuje ich výšku.</t>
  </si>
  <si>
    <t xml:space="preserve"> 4.    Krátkodobý finančný majetok </t>
  </si>
  <si>
    <t xml:space="preserve">Peňažné prostriedky a ceniny sa oceňujú ich menovitou hodnotou. </t>
  </si>
  <si>
    <t xml:space="preserve"> </t>
  </si>
  <si>
    <t xml:space="preserve"> 5.    Časové rozlíšenie na strane aktív</t>
  </si>
  <si>
    <t>Náklady budúcich období a príjmy budúcich období sa vykazujú vo výške, ktorá je potrebná na dodržanie zásady vecnej a časovej súvislosti s účtovným obdobím.</t>
  </si>
  <si>
    <t xml:space="preserve"> 6.    Rezervy</t>
  </si>
  <si>
    <t>Rezervy sú záväzky predstavujúce existujúcu povinnosť účtovnej jednotky, ktorá vznikla z minulých udalostí, je pravdepodobné, že v budúcnosti zníži ekonomické úžitky účtovnej jednotky, pričom nie je známa presná výška tohto záväzku. Slúžia na krytie rizík alebo strát z podnikania . Oceňované sú v odhadnutej výške potrebnej na splnenie existujúcej povinnosti k poslednému dňu bežného obdobia.</t>
  </si>
  <si>
    <t xml:space="preserve"> 7.   Záväzky</t>
  </si>
  <si>
    <t xml:space="preserve">Záväzky Spoločnosť pri ich vzniku sa oceňuje menovitou hodnotou a pri ich prevzatí sa oceňujú obstarávacou cenou. Ak sa pri inventarizácii zistí, že suma záväzkov je iná ako ich výška v účtovníctve, uvedú sa záväzky v účtovníctve a v účtovnej závierke v tomto zistenom ocenení. </t>
  </si>
  <si>
    <t>V roku 2015 spoločnosť svoje záväzky platila priebežne a k 31.12.2015 nemá záväzky riešené súdnou cestou</t>
  </si>
  <si>
    <t>8.   Časové rozlíšenie na strane  pasív</t>
  </si>
  <si>
    <t xml:space="preserve">        Výdavky budúcich období a výnosy budúcich období sú vykazované vo výške , ktorá je potrebná na dodržanie zásady vecnej a časovej súvislosti  s účtovným obdobím.</t>
  </si>
  <si>
    <t xml:space="preserve"> 9.   Odložené dane</t>
  </si>
  <si>
    <t xml:space="preserve"> Odložené dane (odložená daňová pohľadávka a odložený daňový záväzok) sa vzťahujú na: </t>
  </si>
  <si>
    <t>a)   dočasné rozdiely medzi účtovnou hodnotou majetku a účtovnou hodnotou záväzkov vykázanou v súvahe  a ich daňovou základňou,</t>
  </si>
  <si>
    <t xml:space="preserve">b)   možnosti umorovať daňovú stratu v budúcnosti, </t>
  </si>
  <si>
    <t>c)   možnosti previesť nevyužité daňové odpočty a iné daňové nároky do budúcich období.</t>
  </si>
  <si>
    <t xml:space="preserve"> 10.   Cudzia mena</t>
  </si>
  <si>
    <t>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prípadu, v účtovnej závierke určeným a vyhláseným v deň, ku ktorému sa zostavuje účtovná závierka.</t>
  </si>
  <si>
    <t xml:space="preserve">Pri kúpe a predaji cudzej meny používa Spoločnosť kurz komerčnej banky platný v čase kúpy a predaja. </t>
  </si>
  <si>
    <t>Spoločnosť na základe § 52, ods. 39  a §17 Zákona č, 595/2003 Z.Z. o dani z príjmov do základu dane zahŕňa kurzové rozdiely až pri inkase pohľadávok a úhrade záväzkov.</t>
  </si>
  <si>
    <t xml:space="preserve"> 11.    Výnosy</t>
  </si>
  <si>
    <t>Tržby za vlastné výkony neobsahujú daň z pridanej hodnoty. Sú tiež znížené o zľavy a zrážky (rabaty, bonusy, skontá, dobropisy a pod.) bez ohľadu na to, či zákazník mal vopred na zľavu nárok, alebo či ide o dodatočne uznanú zľavu.</t>
  </si>
  <si>
    <t xml:space="preserve"> 12.   Emisné kvóty</t>
  </si>
  <si>
    <t>Bez  plnenia.</t>
  </si>
  <si>
    <t xml:space="preserve"> Spoločnosť nie je zahrňovaná do žiadnej konsolidácie. Na základe platného znenia Zákona o účtovníctve. </t>
  </si>
  <si>
    <t>Spoločnosť nie je povinná k 31.12.2015 zostavovať konsolidovanú účtovnú závierku.</t>
  </si>
  <si>
    <t>IČO: 36405256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</si>
</sst>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Border="1"/>
    <xf numFmtId="9" fontId="4" fillId="0" borderId="2" xfId="1" applyFont="1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4" fillId="0" borderId="3" xfId="0" applyFont="1" applyBorder="1" applyAlignment="1">
      <alignment vertical="center" wrapText="1"/>
    </xf>
    <xf numFmtId="49" fontId="4" fillId="0" borderId="0" xfId="0" applyNumberFormat="1" applyFont="1" applyBorder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Border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ont="1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0" xfId="0" applyFont="1"/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 applyBorder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top"/>
    </xf>
    <xf numFmtId="0" fontId="0" fillId="2" borderId="0" xfId="0" applyFont="1" applyFill="1" applyAlignment="1">
      <alignment horizontal="right"/>
    </xf>
    <xf numFmtId="3" fontId="4" fillId="2" borderId="24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164" fontId="4" fillId="0" borderId="0" xfId="0" applyNumberFormat="1" applyFont="1" applyBorder="1"/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wrapText="1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 2" xfId="2"/>
    <cellStyle name="Normální" xfId="0" builtinId="0"/>
    <cellStyle name="Procenta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"/>
  <sheetViews>
    <sheetView showGridLines="0" tabSelected="1" topLeftCell="A28" zoomScaleNormal="100" zoomScaleSheetLayoutView="100" workbookViewId="0">
      <selection activeCell="B42" sqref="B42"/>
    </sheetView>
  </sheetViews>
  <sheetFormatPr defaultRowHeight="14.4" x14ac:dyDescent="0.3"/>
  <cols>
    <col min="1" max="1" width="22" customWidth="1"/>
    <col min="2" max="2" width="21.5546875" customWidth="1"/>
  </cols>
  <sheetData>
    <row r="1" spans="1:2" x14ac:dyDescent="0.3">
      <c r="A1" t="s">
        <v>318</v>
      </c>
    </row>
    <row r="2" spans="1:2" x14ac:dyDescent="0.3">
      <c r="A2" t="s">
        <v>1240</v>
      </c>
    </row>
    <row r="3" spans="1:2" x14ac:dyDescent="0.3">
      <c r="A3" t="s">
        <v>698</v>
      </c>
    </row>
    <row r="4" spans="1:2" x14ac:dyDescent="0.3">
      <c r="A4" t="s">
        <v>768</v>
      </c>
    </row>
    <row r="5" spans="1:2" x14ac:dyDescent="0.3">
      <c r="A5" t="s">
        <v>10</v>
      </c>
    </row>
    <row r="6" spans="1:2" x14ac:dyDescent="0.3">
      <c r="A6" t="s">
        <v>415</v>
      </c>
    </row>
    <row r="7" spans="1:2" x14ac:dyDescent="0.3">
      <c r="A7" t="s">
        <v>193</v>
      </c>
    </row>
    <row r="8" spans="1:2" x14ac:dyDescent="0.3">
      <c r="A8" t="s">
        <v>713</v>
      </c>
    </row>
    <row r="9" spans="1:2" x14ac:dyDescent="0.3">
      <c r="A9" t="s">
        <v>497</v>
      </c>
    </row>
    <row r="10" spans="1:2" x14ac:dyDescent="0.3">
      <c r="A10" t="s">
        <v>841</v>
      </c>
    </row>
    <row r="11" spans="1:2" x14ac:dyDescent="0.3">
      <c r="A11" s="39" t="s">
        <v>253</v>
      </c>
      <c r="B11" s="39" t="s">
        <v>213</v>
      </c>
    </row>
    <row r="12" spans="1:2" x14ac:dyDescent="0.3">
      <c r="A12" s="149">
        <v>1</v>
      </c>
      <c r="B12" s="52" t="s">
        <v>587</v>
      </c>
    </row>
    <row r="13" spans="1:2" x14ac:dyDescent="0.3">
      <c r="A13" s="149">
        <v>2</v>
      </c>
      <c r="B13" s="52" t="s">
        <v>124</v>
      </c>
    </row>
    <row r="14" spans="1:2" x14ac:dyDescent="0.3">
      <c r="A14" s="149">
        <v>3</v>
      </c>
      <c r="B14" s="52" t="s">
        <v>894</v>
      </c>
    </row>
    <row r="15" spans="1:2" x14ac:dyDescent="0.3">
      <c r="A15" s="149">
        <v>4</v>
      </c>
      <c r="B15" s="52" t="s">
        <v>712</v>
      </c>
    </row>
    <row r="16" spans="1:2" x14ac:dyDescent="0.3">
      <c r="A16" s="149">
        <v>5</v>
      </c>
      <c r="B16" s="52" t="s">
        <v>964</v>
      </c>
    </row>
    <row r="17" spans="1:2" x14ac:dyDescent="0.3">
      <c r="A17" s="149">
        <v>6</v>
      </c>
      <c r="B17" s="52" t="s">
        <v>171</v>
      </c>
    </row>
    <row r="18" spans="1:2" x14ac:dyDescent="0.3">
      <c r="A18" s="149">
        <v>7</v>
      </c>
      <c r="B18" s="52" t="s">
        <v>1037</v>
      </c>
    </row>
    <row r="19" spans="1:2" x14ac:dyDescent="0.3">
      <c r="A19" s="149">
        <v>8</v>
      </c>
      <c r="B19" s="52" t="s">
        <v>95</v>
      </c>
    </row>
    <row r="20" spans="1:2" x14ac:dyDescent="0.3">
      <c r="A20" s="149">
        <v>9</v>
      </c>
      <c r="B20" s="52" t="s">
        <v>752</v>
      </c>
    </row>
    <row r="21" spans="1:2" x14ac:dyDescent="0.3">
      <c r="A21" s="149">
        <v>10</v>
      </c>
      <c r="B21" s="52" t="s">
        <v>277</v>
      </c>
    </row>
    <row r="22" spans="1:2" x14ac:dyDescent="0.3">
      <c r="A22" s="149">
        <v>11</v>
      </c>
      <c r="B22" s="52" t="s">
        <v>405</v>
      </c>
    </row>
    <row r="24" spans="1:2" x14ac:dyDescent="0.3">
      <c r="A24" t="s">
        <v>1162</v>
      </c>
    </row>
    <row r="25" spans="1:2" x14ac:dyDescent="0.3">
      <c r="A25" t="s">
        <v>704</v>
      </c>
    </row>
    <row r="26" spans="1:2" x14ac:dyDescent="0.3">
      <c r="A26" t="s">
        <v>777</v>
      </c>
    </row>
    <row r="27" spans="1:2" x14ac:dyDescent="0.3">
      <c r="A27" t="s">
        <v>111</v>
      </c>
    </row>
    <row r="28" spans="1:2" x14ac:dyDescent="0.3">
      <c r="A28" t="s">
        <v>178</v>
      </c>
    </row>
    <row r="29" spans="1:2" x14ac:dyDescent="0.3">
      <c r="A29" t="s">
        <v>32</v>
      </c>
    </row>
    <row r="30" spans="1:2" x14ac:dyDescent="0.3">
      <c r="A30" t="s">
        <v>584</v>
      </c>
    </row>
    <row r="31" spans="1:2" x14ac:dyDescent="0.3">
      <c r="A31" t="s">
        <v>104</v>
      </c>
    </row>
    <row r="32" spans="1:2" x14ac:dyDescent="0.3">
      <c r="A32" t="s">
        <v>1278</v>
      </c>
    </row>
    <row r="33" spans="1:1" x14ac:dyDescent="0.3">
      <c r="A33" t="s">
        <v>1149</v>
      </c>
    </row>
    <row r="34" spans="1:1" x14ac:dyDescent="0.3">
      <c r="A34" t="s">
        <v>1296</v>
      </c>
    </row>
    <row r="35" spans="1:1" x14ac:dyDescent="0.3">
      <c r="A35" t="s">
        <v>1333</v>
      </c>
    </row>
    <row r="36" spans="1:1" x14ac:dyDescent="0.3">
      <c r="A36" t="s">
        <v>940</v>
      </c>
    </row>
    <row r="37" spans="1:1" x14ac:dyDescent="0.3">
      <c r="A37" t="s">
        <v>552</v>
      </c>
    </row>
    <row r="38" spans="1:1" x14ac:dyDescent="0.3">
      <c r="A38" t="s">
        <v>1335</v>
      </c>
    </row>
    <row r="40" spans="1:1" x14ac:dyDescent="0.3">
      <c r="A40" t="s">
        <v>1336</v>
      </c>
    </row>
    <row r="41" spans="1:1" x14ac:dyDescent="0.3">
      <c r="A41" t="s">
        <v>1337</v>
      </c>
    </row>
    <row r="42" spans="1:1" x14ac:dyDescent="0.3">
      <c r="A42" t="s">
        <v>1406</v>
      </c>
    </row>
    <row r="43" spans="1:1" x14ac:dyDescent="0.3">
      <c r="A43" t="s">
        <v>1338</v>
      </c>
    </row>
    <row r="44" spans="1:1" x14ac:dyDescent="0.3">
      <c r="A44" t="s">
        <v>1339</v>
      </c>
    </row>
    <row r="45" spans="1:1" x14ac:dyDescent="0.3">
      <c r="A45" t="s">
        <v>1340</v>
      </c>
    </row>
    <row r="47" spans="1:1" x14ac:dyDescent="0.3">
      <c r="A47" t="s">
        <v>1341</v>
      </c>
    </row>
    <row r="49" spans="1:1" x14ac:dyDescent="0.3">
      <c r="A49" t="s">
        <v>1342</v>
      </c>
    </row>
    <row r="50" spans="1:1" x14ac:dyDescent="0.3">
      <c r="A50" t="s">
        <v>1343</v>
      </c>
    </row>
    <row r="51" spans="1:1" x14ac:dyDescent="0.3">
      <c r="A51" t="s">
        <v>1344</v>
      </c>
    </row>
    <row r="52" spans="1:1" x14ac:dyDescent="0.3">
      <c r="A52" t="s">
        <v>1345</v>
      </c>
    </row>
    <row r="55" spans="1:1" x14ac:dyDescent="0.3">
      <c r="A55" t="s">
        <v>1346</v>
      </c>
    </row>
    <row r="56" spans="1:1" x14ac:dyDescent="0.3">
      <c r="A56" t="s">
        <v>1347</v>
      </c>
    </row>
    <row r="58" spans="1:1" x14ac:dyDescent="0.3">
      <c r="A58" t="s">
        <v>1348</v>
      </c>
    </row>
    <row r="59" spans="1:1" x14ac:dyDescent="0.3">
      <c r="A59" t="s">
        <v>1349</v>
      </c>
    </row>
    <row r="64" spans="1:1" x14ac:dyDescent="0.3">
      <c r="A64" t="s">
        <v>1350</v>
      </c>
    </row>
    <row r="66" spans="1:1" x14ac:dyDescent="0.3">
      <c r="A66" t="s">
        <v>1351</v>
      </c>
    </row>
    <row r="67" spans="1:1" x14ac:dyDescent="0.3">
      <c r="A67" t="s">
        <v>1352</v>
      </c>
    </row>
    <row r="68" spans="1:1" x14ac:dyDescent="0.3">
      <c r="A68" t="s">
        <v>1353</v>
      </c>
    </row>
    <row r="69" spans="1:1" x14ac:dyDescent="0.3">
      <c r="A69" t="s">
        <v>1354</v>
      </c>
    </row>
    <row r="71" spans="1:1" x14ac:dyDescent="0.3">
      <c r="A71" t="s">
        <v>1355</v>
      </c>
    </row>
    <row r="74" spans="1:1" x14ac:dyDescent="0.3">
      <c r="A74" t="s">
        <v>1404</v>
      </c>
    </row>
    <row r="75" spans="1:1" x14ac:dyDescent="0.3">
      <c r="A75" t="s">
        <v>1405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8"/>
  <sheetViews>
    <sheetView showGridLines="0" zoomScaleNormal="100" zoomScaleSheetLayoutView="100" workbookViewId="0"/>
  </sheetViews>
  <sheetFormatPr defaultRowHeight="14.4" x14ac:dyDescent="0.3"/>
  <cols>
    <col min="1" max="1" width="17.109375" customWidth="1"/>
    <col min="2" max="2" width="12.44140625" customWidth="1"/>
    <col min="3" max="7" width="11.44140625" customWidth="1"/>
  </cols>
  <sheetData>
    <row r="1" spans="1:10" ht="15" thickBot="1" x14ac:dyDescent="0.35">
      <c r="A1" s="44" t="s">
        <v>1092</v>
      </c>
    </row>
    <row r="2" spans="1:10" ht="74.25" customHeight="1" thickTop="1" thickBot="1" x14ac:dyDescent="0.35">
      <c r="A2" s="211" t="s">
        <v>707</v>
      </c>
      <c r="B2" s="211" t="s">
        <v>303</v>
      </c>
      <c r="C2" s="47" t="s">
        <v>275</v>
      </c>
      <c r="D2" s="211" t="s">
        <v>1122</v>
      </c>
      <c r="E2" s="211" t="s">
        <v>899</v>
      </c>
      <c r="F2" s="47" t="s">
        <v>589</v>
      </c>
      <c r="G2" s="211" t="s">
        <v>582</v>
      </c>
    </row>
    <row r="3" spans="1:10" ht="27" customHeight="1" thickTop="1" thickBot="1" x14ac:dyDescent="0.35">
      <c r="A3" s="174" t="s">
        <v>751</v>
      </c>
      <c r="B3" s="31"/>
      <c r="C3" s="22"/>
      <c r="D3" s="22"/>
      <c r="E3" s="22"/>
      <c r="F3" s="22"/>
      <c r="G3" s="230">
        <f>SUM(C3:F3)</f>
        <v>0</v>
      </c>
    </row>
    <row r="4" spans="1:10" ht="31.2" thickBot="1" x14ac:dyDescent="0.35">
      <c r="A4" s="174" t="s">
        <v>433</v>
      </c>
      <c r="B4" s="158"/>
      <c r="C4" s="41"/>
      <c r="D4" s="41"/>
      <c r="E4" s="41"/>
      <c r="F4" s="41"/>
      <c r="G4" s="128">
        <f>SUM(C4:F4)</f>
        <v>0</v>
      </c>
    </row>
    <row r="5" spans="1:10" ht="31.2" thickBot="1" x14ac:dyDescent="0.35">
      <c r="A5" s="174" t="s">
        <v>939</v>
      </c>
      <c r="B5" s="158"/>
      <c r="C5" s="41"/>
      <c r="D5" s="41"/>
      <c r="E5" s="41"/>
      <c r="F5" s="41"/>
      <c r="G5" s="128">
        <f>SUM(C5:F5)</f>
        <v>0</v>
      </c>
    </row>
    <row r="6" spans="1:10" ht="27" customHeight="1" thickBot="1" x14ac:dyDescent="0.35">
      <c r="A6" s="174" t="s">
        <v>948</v>
      </c>
      <c r="B6" s="158"/>
      <c r="C6" s="41"/>
      <c r="D6" s="41"/>
      <c r="E6" s="41"/>
      <c r="F6" s="41"/>
      <c r="G6" s="128">
        <f>SUM(C6:F6)</f>
        <v>0</v>
      </c>
    </row>
    <row r="7" spans="1:10" ht="27" customHeight="1" thickBot="1" x14ac:dyDescent="0.35">
      <c r="A7" s="129" t="s">
        <v>812</v>
      </c>
      <c r="B7" s="204" t="s">
        <v>81</v>
      </c>
      <c r="C7" s="14"/>
      <c r="D7" s="14"/>
      <c r="E7" s="14"/>
      <c r="F7" s="14"/>
      <c r="G7" s="64">
        <f>SUMIF(HK!A:A,"065*",HK!K:K)-SUMIF(HK!A:A,"065*",HK!L:L)</f>
        <v>0</v>
      </c>
      <c r="J7" s="156"/>
    </row>
    <row r="8" spans="1:10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8"/>
  <sheetViews>
    <sheetView showGridLines="0" zoomScaleNormal="100" zoomScaleSheetLayoutView="100" workbookViewId="0"/>
  </sheetViews>
  <sheetFormatPr defaultRowHeight="14.4" x14ac:dyDescent="0.3"/>
  <cols>
    <col min="1" max="1" width="20.44140625" customWidth="1"/>
    <col min="2" max="6" width="13.33203125" customWidth="1"/>
    <col min="7" max="7" width="17.5546875" customWidth="1"/>
  </cols>
  <sheetData>
    <row r="1" spans="1:6" ht="15" thickBot="1" x14ac:dyDescent="0.35">
      <c r="A1" s="44" t="s">
        <v>185</v>
      </c>
    </row>
    <row r="2" spans="1:6" ht="58.5" customHeight="1" thickTop="1" thickBot="1" x14ac:dyDescent="0.35">
      <c r="A2" s="211" t="s">
        <v>740</v>
      </c>
      <c r="B2" s="47" t="s">
        <v>275</v>
      </c>
      <c r="C2" s="211" t="s">
        <v>1122</v>
      </c>
      <c r="D2" s="211" t="s">
        <v>899</v>
      </c>
      <c r="E2" s="211" t="s">
        <v>969</v>
      </c>
      <c r="F2" s="47" t="s">
        <v>101</v>
      </c>
    </row>
    <row r="3" spans="1:6" ht="27" customHeight="1" thickTop="1" thickBot="1" x14ac:dyDescent="0.35">
      <c r="A3" s="174" t="s">
        <v>751</v>
      </c>
      <c r="B3" s="41"/>
      <c r="C3" s="41"/>
      <c r="D3" s="41"/>
      <c r="E3" s="41"/>
      <c r="F3" s="128">
        <f>SUM(B3:E3)</f>
        <v>0</v>
      </c>
    </row>
    <row r="4" spans="1:6" ht="27" customHeight="1" thickBot="1" x14ac:dyDescent="0.35">
      <c r="A4" s="174" t="s">
        <v>937</v>
      </c>
      <c r="B4" s="41"/>
      <c r="C4" s="41"/>
      <c r="D4" s="41"/>
      <c r="E4" s="41"/>
      <c r="F4" s="128">
        <f>SUM(B4:E4)</f>
        <v>0</v>
      </c>
    </row>
    <row r="5" spans="1:6" ht="27" customHeight="1" thickBot="1" x14ac:dyDescent="0.35">
      <c r="A5" s="174" t="s">
        <v>918</v>
      </c>
      <c r="B5" s="41"/>
      <c r="C5" s="41"/>
      <c r="D5" s="41"/>
      <c r="E5" s="41"/>
      <c r="F5" s="128">
        <f>SUM(B5:E5)</f>
        <v>0</v>
      </c>
    </row>
    <row r="6" spans="1:6" ht="27" customHeight="1" thickBot="1" x14ac:dyDescent="0.35">
      <c r="A6" s="174" t="s">
        <v>948</v>
      </c>
      <c r="B6" s="41"/>
      <c r="C6" s="41"/>
      <c r="D6" s="41"/>
      <c r="E6" s="41"/>
      <c r="F6" s="128">
        <f>SUM(B6:E6)</f>
        <v>0</v>
      </c>
    </row>
    <row r="7" spans="1:6" ht="27" customHeight="1" thickBot="1" x14ac:dyDescent="0.35">
      <c r="A7" s="129" t="s">
        <v>218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22">
        <f>SUM(F3:F6)</f>
        <v>0</v>
      </c>
    </row>
    <row r="8" spans="1:6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3"/>
  <sheetViews>
    <sheetView showGridLines="0" zoomScaleNormal="100" zoomScaleSheetLayoutView="100" workbookViewId="0"/>
  </sheetViews>
  <sheetFormatPr defaultRowHeight="14.4" x14ac:dyDescent="0.3"/>
  <cols>
    <col min="1" max="1" width="18.5546875" customWidth="1"/>
    <col min="2" max="6" width="13.5546875" customWidth="1"/>
    <col min="7" max="7" width="17.5546875" customWidth="1"/>
  </cols>
  <sheetData>
    <row r="1" spans="1:8" x14ac:dyDescent="0.3">
      <c r="A1" s="44" t="s">
        <v>510</v>
      </c>
    </row>
    <row r="2" spans="1:8" ht="15" thickBot="1" x14ac:dyDescent="0.35">
      <c r="A2" s="251" t="s">
        <v>258</v>
      </c>
    </row>
    <row r="3" spans="1:8" ht="15.6" thickTop="1" thickBot="1" x14ac:dyDescent="0.35">
      <c r="A3" s="252" t="s">
        <v>91</v>
      </c>
      <c r="B3" s="257" t="s">
        <v>137</v>
      </c>
      <c r="C3" s="258"/>
      <c r="D3" s="258"/>
      <c r="E3" s="258"/>
      <c r="F3" s="259"/>
    </row>
    <row r="4" spans="1:8" ht="60" customHeight="1" thickTop="1" thickBot="1" x14ac:dyDescent="0.35">
      <c r="A4" s="266"/>
      <c r="B4" s="187" t="s">
        <v>1118</v>
      </c>
      <c r="C4" s="184" t="s">
        <v>872</v>
      </c>
      <c r="D4" s="187" t="s">
        <v>73</v>
      </c>
      <c r="E4" s="184" t="s">
        <v>464</v>
      </c>
      <c r="F4" s="187" t="s">
        <v>609</v>
      </c>
    </row>
    <row r="5" spans="1:8" ht="23.25" customHeight="1" thickTop="1" thickBot="1" x14ac:dyDescent="0.35">
      <c r="A5" s="174" t="s">
        <v>854</v>
      </c>
      <c r="B5" s="139">
        <f>SUMIF(HK!A:A,"191*",HK!D:D)-SUMIF(HK!A:A,"191*",HK!C:C)</f>
        <v>0</v>
      </c>
      <c r="C5" s="41"/>
      <c r="D5" s="41"/>
      <c r="E5" s="41"/>
      <c r="F5" s="139">
        <f>SUMIF(HK!A:A,"191*",HK!L:L)-SUMIF(HK!A:A,"191*",HK!K:K)</f>
        <v>0</v>
      </c>
      <c r="H5" s="156"/>
    </row>
    <row r="6" spans="1:8" ht="21" thickBot="1" x14ac:dyDescent="0.35">
      <c r="A6" s="174" t="s">
        <v>227</v>
      </c>
      <c r="B6" s="139">
        <f>SUMIF(HK!A:A,"192*",HK!D:D)-SUMIF(HK!A:A,"192*",HK!C:C)+SUMIF(HK!A:A,"193*",HK!D:D)-SUMIF(HK!A:A,"193*",HK!C:C)</f>
        <v>0</v>
      </c>
      <c r="C6" s="41"/>
      <c r="D6" s="41"/>
      <c r="E6" s="41"/>
      <c r="F6" s="139">
        <f>SUMIF(HK!A:A,"192*",HK!L:L)-SUMIF(HK!A:A,"192*",HK!K:K)+SUMIF(HK!A:A,"193*",HK!L:L)-SUMIF(HK!A:A,"193*",HK!K:K)</f>
        <v>0</v>
      </c>
      <c r="H6" s="156"/>
    </row>
    <row r="7" spans="1:8" ht="23.25" customHeight="1" thickBot="1" x14ac:dyDescent="0.35">
      <c r="A7" s="174" t="s">
        <v>51</v>
      </c>
      <c r="B7" s="139">
        <f>SUMIF(HK!A:A,"194*",HK!D:D)-SUMIF(HK!A:A,"194*",HK!C:C)</f>
        <v>0</v>
      </c>
      <c r="C7" s="241"/>
      <c r="D7" s="241"/>
      <c r="E7" s="241"/>
      <c r="F7" s="139">
        <f>SUMIF(HK!A:A,"194*",HK!L:L)-SUMIF(HK!A:A,"194*",HK!K:K)</f>
        <v>0</v>
      </c>
      <c r="H7" s="156"/>
    </row>
    <row r="8" spans="1:8" ht="23.25" customHeight="1" thickBot="1" x14ac:dyDescent="0.35">
      <c r="A8" s="174" t="s">
        <v>250</v>
      </c>
      <c r="B8" s="139">
        <f>SUMIF(HK!A:A,"195*",HK!D:D)-SUMIF(HK!A:A,"195*",HK!C:C)</f>
        <v>0</v>
      </c>
      <c r="C8" s="241"/>
      <c r="D8" s="241"/>
      <c r="E8" s="241"/>
      <c r="F8" s="139">
        <f>SUMIF(HK!A:A,"195*",HK!L:L)-SUMIF(HK!A:A,"195*",HK!K:K)</f>
        <v>0</v>
      </c>
      <c r="H8" s="156"/>
    </row>
    <row r="9" spans="1:8" ht="23.25" customHeight="1" thickBot="1" x14ac:dyDescent="0.35">
      <c r="A9" s="174" t="s">
        <v>79</v>
      </c>
      <c r="B9" s="139">
        <f>SUMIF(HK!A:A,"196*",HK!D:D)-SUMIF(HK!A:A,"196*",HK!C:C)</f>
        <v>0</v>
      </c>
      <c r="C9" s="241"/>
      <c r="D9" s="241"/>
      <c r="E9" s="241"/>
      <c r="F9" s="139">
        <f>SUMIF(HK!A:A,"196*",HK!L:L)-SUMIF(HK!A:A,"196*",HK!K:K)</f>
        <v>0</v>
      </c>
      <c r="H9" s="156"/>
    </row>
    <row r="10" spans="1:8" ht="23.25" customHeight="1" thickBot="1" x14ac:dyDescent="0.35">
      <c r="A10" s="174" t="s">
        <v>1297</v>
      </c>
      <c r="B10" s="165"/>
      <c r="C10" s="165"/>
      <c r="D10" s="165"/>
      <c r="E10" s="165"/>
      <c r="F10" s="128">
        <f>SUM(B10:E10)</f>
        <v>0</v>
      </c>
    </row>
    <row r="11" spans="1:8" ht="23.25" customHeight="1" thickBot="1" x14ac:dyDescent="0.35">
      <c r="A11" s="174" t="s">
        <v>259</v>
      </c>
      <c r="B11" s="165"/>
      <c r="C11" s="165"/>
      <c r="D11" s="165"/>
      <c r="E11" s="165"/>
      <c r="F11" s="128">
        <f>SUM(B11:E11)</f>
        <v>0</v>
      </c>
    </row>
    <row r="12" spans="1:8" ht="23.25" customHeight="1" thickBot="1" x14ac:dyDescent="0.35">
      <c r="A12" s="129" t="s">
        <v>1129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22">
        <f>SUM(F5:F11)</f>
        <v>0</v>
      </c>
    </row>
    <row r="13" spans="1:8" ht="15" thickTop="1" x14ac:dyDescent="0.3">
      <c r="A13" s="251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7"/>
  <sheetViews>
    <sheetView showGridLines="0" zoomScaleNormal="100" zoomScaleSheetLayoutView="100" workbookViewId="0"/>
  </sheetViews>
  <sheetFormatPr defaultRowHeight="14.4" x14ac:dyDescent="0.3"/>
  <cols>
    <col min="1" max="1" width="44.44140625" customWidth="1"/>
    <col min="2" max="2" width="42.109375" customWidth="1"/>
    <col min="3" max="3" width="19.109375" customWidth="1"/>
    <col min="4" max="4" width="15.44140625" customWidth="1"/>
    <col min="5" max="5" width="14.5546875" customWidth="1"/>
    <col min="6" max="6" width="13.5546875" customWidth="1"/>
    <col min="7" max="7" width="17.5546875" customWidth="1"/>
  </cols>
  <sheetData>
    <row r="1" spans="1:2" x14ac:dyDescent="0.3">
      <c r="A1" s="44" t="s">
        <v>510</v>
      </c>
    </row>
    <row r="2" spans="1:2" x14ac:dyDescent="0.3">
      <c r="A2" s="251"/>
    </row>
    <row r="3" spans="1:2" ht="15" thickBot="1" x14ac:dyDescent="0.35">
      <c r="A3" s="251" t="s">
        <v>8</v>
      </c>
    </row>
    <row r="4" spans="1:2" ht="24" customHeight="1" thickTop="1" thickBot="1" x14ac:dyDescent="0.35">
      <c r="A4" s="196" t="s">
        <v>1297</v>
      </c>
      <c r="B4" s="32" t="s">
        <v>251</v>
      </c>
    </row>
    <row r="5" spans="1:2" ht="21.6" thickTop="1" thickBot="1" x14ac:dyDescent="0.35">
      <c r="A5" s="195" t="s">
        <v>184</v>
      </c>
      <c r="B5" s="230"/>
    </row>
    <row r="6" spans="1:2" ht="24.75" customHeight="1" thickBot="1" x14ac:dyDescent="0.35">
      <c r="A6" s="37" t="s">
        <v>1001</v>
      </c>
      <c r="B6" s="218"/>
    </row>
    <row r="7" spans="1:2" ht="15" thickTop="1" x14ac:dyDescent="0.3">
      <c r="A7" s="76"/>
      <c r="B7" s="197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zoomScaleSheetLayoutView="100" workbookViewId="0"/>
  </sheetViews>
  <sheetFormatPr defaultRowHeight="14.4" x14ac:dyDescent="0.3"/>
  <cols>
    <col min="1" max="1" width="44.44140625" customWidth="1"/>
    <col min="2" max="2" width="42.109375" customWidth="1"/>
    <col min="3" max="3" width="19.109375" customWidth="1"/>
  </cols>
  <sheetData>
    <row r="1" spans="1:2" ht="15" thickBot="1" x14ac:dyDescent="0.35">
      <c r="A1" s="44" t="s">
        <v>283</v>
      </c>
    </row>
    <row r="2" spans="1:2" ht="15.6" thickTop="1" thickBot="1" x14ac:dyDescent="0.35">
      <c r="A2" s="196" t="s">
        <v>91</v>
      </c>
      <c r="B2" s="32" t="s">
        <v>1004</v>
      </c>
    </row>
    <row r="3" spans="1:2" ht="24" customHeight="1" thickTop="1" thickBot="1" x14ac:dyDescent="0.35">
      <c r="A3" s="195" t="s">
        <v>297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4"/>
  <sheetViews>
    <sheetView showGridLines="0" zoomScaleNormal="100" zoomScaleSheetLayoutView="100" workbookViewId="0"/>
  </sheetViews>
  <sheetFormatPr defaultRowHeight="14.4" x14ac:dyDescent="0.3"/>
  <cols>
    <col min="1" max="1" width="22.109375" customWidth="1"/>
    <col min="2" max="4" width="21.44140625" customWidth="1"/>
  </cols>
  <sheetData>
    <row r="1" spans="1:7" x14ac:dyDescent="0.3">
      <c r="A1" s="44" t="s">
        <v>1316</v>
      </c>
    </row>
    <row r="2" spans="1:7" ht="15" thickBot="1" x14ac:dyDescent="0.35">
      <c r="A2" s="251" t="s">
        <v>258</v>
      </c>
    </row>
    <row r="3" spans="1:7" ht="45" customHeight="1" thickTop="1" thickBot="1" x14ac:dyDescent="0.35">
      <c r="A3" s="211" t="s">
        <v>147</v>
      </c>
      <c r="B3" s="47" t="s">
        <v>986</v>
      </c>
      <c r="C3" s="47" t="s">
        <v>463</v>
      </c>
      <c r="D3" s="47" t="s">
        <v>1223</v>
      </c>
    </row>
    <row r="4" spans="1:7" ht="20.25" customHeight="1" thickTop="1" thickBot="1" x14ac:dyDescent="0.35">
      <c r="A4" s="174" t="s">
        <v>1194</v>
      </c>
      <c r="B4" s="139">
        <f>SUMIF(HK!A:A,"606*",HK!L:L)-SUMIF(HK!A:A,"606*",HK!K:K)</f>
        <v>0</v>
      </c>
      <c r="C4" s="139">
        <f>SUMIF(HKM!A:A,"606*",HKM!L:L)-SUMIF(HKM!A:A,"606*",HKM!K:K)</f>
        <v>0</v>
      </c>
      <c r="D4" s="128"/>
      <c r="G4" s="156"/>
    </row>
    <row r="5" spans="1:7" ht="20.25" customHeight="1" thickBot="1" x14ac:dyDescent="0.35">
      <c r="A5" s="174" t="s">
        <v>514</v>
      </c>
      <c r="B5" s="128"/>
      <c r="C5" s="128"/>
      <c r="D5" s="128"/>
    </row>
    <row r="6" spans="1:7" ht="20.25" customHeight="1" thickBot="1" x14ac:dyDescent="0.35">
      <c r="A6" s="37" t="s">
        <v>614</v>
      </c>
      <c r="B6" s="218"/>
      <c r="C6" s="218"/>
      <c r="D6" s="218">
        <f>D4+D5</f>
        <v>0</v>
      </c>
    </row>
    <row r="7" spans="1:7" ht="15" thickTop="1" x14ac:dyDescent="0.3">
      <c r="A7" s="54"/>
      <c r="B7" s="146"/>
      <c r="C7" s="146"/>
      <c r="D7" s="146"/>
    </row>
    <row r="8" spans="1:7" x14ac:dyDescent="0.3">
      <c r="A8" s="54"/>
      <c r="B8" s="146"/>
      <c r="C8" s="146"/>
      <c r="D8" s="146"/>
    </row>
    <row r="9" spans="1:7" ht="15" thickBot="1" x14ac:dyDescent="0.35">
      <c r="A9" s="54" t="s">
        <v>7</v>
      </c>
      <c r="B9" s="146"/>
      <c r="C9" s="146"/>
      <c r="D9" s="146"/>
    </row>
    <row r="10" spans="1:7" ht="45" customHeight="1" thickTop="1" thickBot="1" x14ac:dyDescent="0.35">
      <c r="A10" s="211" t="s">
        <v>147</v>
      </c>
      <c r="B10" s="47" t="s">
        <v>986</v>
      </c>
      <c r="C10" s="47" t="s">
        <v>463</v>
      </c>
      <c r="D10" s="47" t="s">
        <v>1035</v>
      </c>
    </row>
    <row r="11" spans="1:7" ht="21.6" thickTop="1" thickBot="1" x14ac:dyDescent="0.35">
      <c r="A11" s="174" t="s">
        <v>1229</v>
      </c>
      <c r="B11" s="128"/>
      <c r="C11" s="128"/>
      <c r="D11" s="128"/>
    </row>
    <row r="12" spans="1:7" ht="21" thickBot="1" x14ac:dyDescent="0.35">
      <c r="A12" s="174" t="s">
        <v>74</v>
      </c>
      <c r="B12" s="128"/>
      <c r="C12" s="128"/>
      <c r="D12" s="128"/>
    </row>
    <row r="13" spans="1:7" ht="15" thickBot="1" x14ac:dyDescent="0.35">
      <c r="A13" s="37" t="s">
        <v>614</v>
      </c>
      <c r="B13" s="218">
        <f>B11+B12</f>
        <v>0</v>
      </c>
      <c r="C13" s="218">
        <f>C11+C12</f>
        <v>0</v>
      </c>
      <c r="D13" s="218">
        <f>D11+D12</f>
        <v>0</v>
      </c>
    </row>
    <row r="14" spans="1:7" ht="15" thickTop="1" x14ac:dyDescent="0.3">
      <c r="A14" s="72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7"/>
  <sheetViews>
    <sheetView showGridLines="0" zoomScaleNormal="100" zoomScaleSheetLayoutView="100" workbookViewId="0"/>
  </sheetViews>
  <sheetFormatPr defaultRowHeight="14.4" x14ac:dyDescent="0.3"/>
  <cols>
    <col min="1" max="1" width="28.6640625" customWidth="1"/>
    <col min="2" max="3" width="28.88671875" customWidth="1"/>
    <col min="4" max="4" width="36.5546875" customWidth="1"/>
  </cols>
  <sheetData>
    <row r="1" spans="1:3" x14ac:dyDescent="0.3">
      <c r="A1" s="44" t="s">
        <v>1316</v>
      </c>
    </row>
    <row r="2" spans="1:3" x14ac:dyDescent="0.3">
      <c r="A2" s="251"/>
    </row>
    <row r="3" spans="1:3" ht="15" thickBot="1" x14ac:dyDescent="0.35">
      <c r="A3" s="146" t="s">
        <v>8</v>
      </c>
      <c r="B3" s="146"/>
      <c r="C3" s="146"/>
    </row>
    <row r="4" spans="1:3" ht="45" customHeight="1" thickTop="1" thickBot="1" x14ac:dyDescent="0.35">
      <c r="A4" s="211" t="s">
        <v>741</v>
      </c>
      <c r="B4" s="47" t="s">
        <v>419</v>
      </c>
      <c r="C4" s="47" t="s">
        <v>541</v>
      </c>
    </row>
    <row r="5" spans="1:3" ht="21.6" thickTop="1" thickBot="1" x14ac:dyDescent="0.35">
      <c r="A5" s="174" t="s">
        <v>832</v>
      </c>
      <c r="B5" s="128"/>
      <c r="C5" s="128"/>
    </row>
    <row r="6" spans="1:3" ht="21" thickBot="1" x14ac:dyDescent="0.35">
      <c r="A6" s="174" t="s">
        <v>1182</v>
      </c>
      <c r="B6" s="128"/>
      <c r="C6" s="128"/>
    </row>
    <row r="7" spans="1:3" ht="20.25" customHeight="1" thickBot="1" x14ac:dyDescent="0.35">
      <c r="A7" s="174" t="s">
        <v>776</v>
      </c>
      <c r="B7" s="128"/>
      <c r="C7" s="128"/>
    </row>
    <row r="8" spans="1:3" ht="20.25" customHeight="1" thickBot="1" x14ac:dyDescent="0.35">
      <c r="A8" s="37" t="s">
        <v>60</v>
      </c>
      <c r="B8" s="218"/>
      <c r="C8" s="218"/>
    </row>
    <row r="9" spans="1:3" ht="15" thickTop="1" x14ac:dyDescent="0.3">
      <c r="A9" s="146"/>
      <c r="B9" s="146"/>
      <c r="C9" s="146"/>
    </row>
    <row r="10" spans="1:3" x14ac:dyDescent="0.3">
      <c r="A10" s="48"/>
      <c r="B10" s="146"/>
      <c r="C10" s="146"/>
    </row>
    <row r="11" spans="1:3" ht="15" thickBot="1" x14ac:dyDescent="0.35">
      <c r="A11" s="48" t="s">
        <v>13</v>
      </c>
      <c r="B11" s="146"/>
      <c r="C11" s="146"/>
    </row>
    <row r="12" spans="1:3" ht="45" customHeight="1" thickTop="1" thickBot="1" x14ac:dyDescent="0.35">
      <c r="A12" s="211" t="s">
        <v>1136</v>
      </c>
      <c r="B12" s="47" t="s">
        <v>419</v>
      </c>
      <c r="C12" s="47" t="s">
        <v>1035</v>
      </c>
    </row>
    <row r="13" spans="1:3" ht="31.8" thickTop="1" thickBot="1" x14ac:dyDescent="0.35">
      <c r="A13" s="174" t="s">
        <v>159</v>
      </c>
      <c r="B13" s="128"/>
      <c r="C13" s="128"/>
    </row>
    <row r="14" spans="1:3" ht="21" thickBot="1" x14ac:dyDescent="0.35">
      <c r="A14" s="174" t="s">
        <v>1182</v>
      </c>
      <c r="B14" s="128"/>
      <c r="C14" s="128"/>
    </row>
    <row r="15" spans="1:3" ht="20.25" customHeight="1" thickBot="1" x14ac:dyDescent="0.35">
      <c r="A15" s="174" t="s">
        <v>961</v>
      </c>
      <c r="B15" s="128"/>
      <c r="C15" s="128"/>
    </row>
    <row r="16" spans="1:3" ht="20.25" customHeight="1" thickBot="1" x14ac:dyDescent="0.35">
      <c r="A16" s="37" t="s">
        <v>60</v>
      </c>
      <c r="B16" s="218"/>
      <c r="C16" s="218"/>
    </row>
    <row r="17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"/>
  <sheetViews>
    <sheetView showGridLines="0" zoomScaleNormal="100" zoomScaleSheetLayoutView="100" workbookViewId="0"/>
  </sheetViews>
  <sheetFormatPr defaultRowHeight="14.4" x14ac:dyDescent="0.3"/>
  <cols>
    <col min="1" max="1" width="25.33203125" customWidth="1"/>
    <col min="2" max="6" width="12.109375" customWidth="1"/>
  </cols>
  <sheetData>
    <row r="1" spans="1:11" ht="15" thickBot="1" x14ac:dyDescent="0.35">
      <c r="A1" s="44" t="s">
        <v>56</v>
      </c>
    </row>
    <row r="2" spans="1:11" ht="15.6" thickTop="1" thickBot="1" x14ac:dyDescent="0.35">
      <c r="A2" s="252" t="s">
        <v>1290</v>
      </c>
      <c r="B2" s="257" t="s">
        <v>137</v>
      </c>
      <c r="C2" s="258"/>
      <c r="D2" s="258"/>
      <c r="E2" s="258"/>
      <c r="F2" s="259"/>
    </row>
    <row r="3" spans="1:11" ht="62.25" customHeight="1" thickTop="1" thickBot="1" x14ac:dyDescent="0.35">
      <c r="A3" s="266"/>
      <c r="B3" s="170" t="s">
        <v>166</v>
      </c>
      <c r="C3" s="160" t="s">
        <v>112</v>
      </c>
      <c r="D3" s="170" t="s">
        <v>73</v>
      </c>
      <c r="E3" s="160" t="s">
        <v>464</v>
      </c>
      <c r="F3" s="170" t="s">
        <v>609</v>
      </c>
    </row>
    <row r="4" spans="1:11" s="173" customFormat="1" ht="33" customHeight="1" thickTop="1" thickBot="1" x14ac:dyDescent="0.35">
      <c r="A4" s="114" t="s">
        <v>1186</v>
      </c>
      <c r="B4" s="82">
        <f>SUMIF(SUAM!C:C,"042",SUAM!E:E)+SUMIF(SUAM!C:C,"054",SUAM!E:E)</f>
        <v>155975.92000000001</v>
      </c>
      <c r="C4" s="29"/>
      <c r="D4" s="29"/>
      <c r="E4" s="29"/>
      <c r="F4" s="200">
        <f>SUMIF(SUA!C:C,"042",SUA!E:E)+SUMIF(SUA!C:C,"054",SUA!E:E)</f>
        <v>155975.92000000001</v>
      </c>
      <c r="G4" s="190"/>
      <c r="H4" s="190"/>
      <c r="I4" s="24"/>
      <c r="K4" s="232"/>
    </row>
    <row r="5" spans="1:11" s="173" customFormat="1" ht="33" customHeight="1" thickBot="1" x14ac:dyDescent="0.35">
      <c r="A5" s="114" t="s">
        <v>1048</v>
      </c>
      <c r="B5" s="30">
        <f>SUMIF(SUAM!C:C,"047",SUAM!E:E)+SUMIF(SUAM!C:C,"059",SUAM!E:E)</f>
        <v>0</v>
      </c>
      <c r="C5" s="241"/>
      <c r="D5" s="241"/>
      <c r="E5" s="241"/>
      <c r="F5" s="139">
        <f>SUMIF(SUA!C:C,"047",SUA!E:E)+SUMIF(SUA!C:C,"059",SUA!E:E)</f>
        <v>0</v>
      </c>
      <c r="G5" s="190"/>
      <c r="H5" s="190"/>
      <c r="I5" s="24"/>
      <c r="K5" s="232"/>
    </row>
    <row r="6" spans="1:11" s="173" customFormat="1" ht="33" customHeight="1" thickBot="1" x14ac:dyDescent="0.35">
      <c r="A6" s="114" t="s">
        <v>424</v>
      </c>
      <c r="B6" s="30">
        <f>SUMIF(SUAM!C:C,"048",SUAM!E:E)+SUMIF(SUAM!C:C,"060",SUAM!E:E)</f>
        <v>0</v>
      </c>
      <c r="C6" s="241"/>
      <c r="D6" s="241"/>
      <c r="E6" s="241"/>
      <c r="F6" s="139">
        <f>SUMIF(SUA!C:C,"048",SUA!E:E)+SUMIF(SUA!C:C,"060",SUA!E:E)</f>
        <v>0</v>
      </c>
      <c r="G6" s="190"/>
      <c r="H6" s="190"/>
      <c r="I6" s="24"/>
      <c r="K6" s="232"/>
    </row>
    <row r="7" spans="1:11" s="173" customFormat="1" ht="33" customHeight="1" thickBot="1" x14ac:dyDescent="0.35">
      <c r="A7" s="114" t="s">
        <v>1221</v>
      </c>
      <c r="B7" s="30">
        <f>SUMIF(SUAM!C:C,"049",SUAM!E:E)+SUMIF(SUAM!C:C,"061",SUAM!E:E)</f>
        <v>0</v>
      </c>
      <c r="C7" s="241"/>
      <c r="D7" s="241"/>
      <c r="E7" s="241"/>
      <c r="F7" s="139">
        <f>SUMIF(SUA!C:C,"049",SUA!E:E)+SUMIF(SUA!C:C,"061",SUA!E:E)</f>
        <v>0</v>
      </c>
      <c r="G7" s="190"/>
      <c r="H7" s="190"/>
      <c r="I7" s="24"/>
      <c r="K7" s="232"/>
    </row>
    <row r="8" spans="1:11" s="173" customFormat="1" ht="33" customHeight="1" thickBot="1" x14ac:dyDescent="0.35">
      <c r="A8" s="114" t="s">
        <v>1277</v>
      </c>
      <c r="B8" s="30">
        <f>SUMIF(SUAM!C:C,"051",SUAM!E:E)+SUMIF(SUAM!C:C,"062",SUAM!E:E)+SUMIF(SUAM!C:C,"063",SUAM!E:E)</f>
        <v>0</v>
      </c>
      <c r="C8" s="241"/>
      <c r="D8" s="241"/>
      <c r="E8" s="241"/>
      <c r="F8" s="139">
        <f>SUMIF(SUA!C:C,"051",SUA!E:E)+SUMIF(SUA!C:C,"062",SUA!E:E)+SUMIF(SUA!C:C,"063",SUA!E:E)</f>
        <v>0</v>
      </c>
      <c r="G8" s="190"/>
      <c r="H8" s="190"/>
      <c r="I8" s="24"/>
      <c r="K8" s="232"/>
    </row>
    <row r="9" spans="1:11" s="173" customFormat="1" ht="33" customHeight="1" thickBot="1" x14ac:dyDescent="0.35">
      <c r="A9" s="126" t="s">
        <v>1158</v>
      </c>
      <c r="B9" s="92">
        <f>SUM(D4:D8)</f>
        <v>0</v>
      </c>
      <c r="C9" s="209"/>
      <c r="D9" s="209"/>
      <c r="E9" s="209"/>
      <c r="F9" s="209">
        <f>SUM(F4:F8)</f>
        <v>155975.92000000001</v>
      </c>
    </row>
    <row r="10" spans="1:11" ht="15" thickTop="1" x14ac:dyDescent="0.3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zoomScaleSheetLayoutView="100" workbookViewId="0"/>
  </sheetViews>
  <sheetFormatPr defaultRowHeight="14.4" x14ac:dyDescent="0.3"/>
  <cols>
    <col min="1" max="1" width="25.88671875" customWidth="1"/>
    <col min="2" max="4" width="20.109375" customWidth="1"/>
    <col min="5" max="6" width="20.44140625" customWidth="1"/>
  </cols>
  <sheetData>
    <row r="1" spans="1:6" x14ac:dyDescent="0.3">
      <c r="A1" s="44" t="s">
        <v>1084</v>
      </c>
    </row>
    <row r="2" spans="1:6" ht="15" thickBot="1" x14ac:dyDescent="0.35">
      <c r="A2" s="251" t="s">
        <v>258</v>
      </c>
    </row>
    <row r="3" spans="1:6" ht="22.5" customHeight="1" thickTop="1" thickBot="1" x14ac:dyDescent="0.35">
      <c r="A3" s="196" t="s">
        <v>592</v>
      </c>
      <c r="B3" s="32" t="s">
        <v>631</v>
      </c>
      <c r="C3" s="32" t="s">
        <v>1036</v>
      </c>
      <c r="D3" s="32" t="s">
        <v>1158</v>
      </c>
    </row>
    <row r="4" spans="1:6" ht="22.5" customHeight="1" thickTop="1" thickBot="1" x14ac:dyDescent="0.35">
      <c r="A4" s="107" t="s">
        <v>467</v>
      </c>
      <c r="B4" s="8"/>
      <c r="C4" s="8"/>
      <c r="D4" s="20"/>
    </row>
    <row r="5" spans="1:6" ht="22.5" customHeight="1" thickTop="1" thickBot="1" x14ac:dyDescent="0.35">
      <c r="A5" s="174" t="s">
        <v>1187</v>
      </c>
      <c r="B5" s="41"/>
      <c r="C5" s="41"/>
      <c r="D5" s="238">
        <f>SUMIF(SUA!C:C,"042",SUA!F:F)</f>
        <v>0</v>
      </c>
      <c r="E5" s="222"/>
      <c r="F5" s="24"/>
    </row>
    <row r="6" spans="1:6" ht="22.5" customHeight="1" thickBot="1" x14ac:dyDescent="0.35">
      <c r="A6" s="174" t="s">
        <v>1048</v>
      </c>
      <c r="B6" s="41"/>
      <c r="C6" s="41"/>
      <c r="D6" s="238">
        <f>SUMIF(SUA!C:C,"047",SUA!F:F)</f>
        <v>0</v>
      </c>
      <c r="E6" s="222"/>
      <c r="F6" s="24"/>
    </row>
    <row r="7" spans="1:6" ht="22.5" customHeight="1" thickBot="1" x14ac:dyDescent="0.35">
      <c r="A7" s="174" t="s">
        <v>424</v>
      </c>
      <c r="B7" s="41"/>
      <c r="C7" s="41"/>
      <c r="D7" s="238">
        <f>SUMIF(SUA!C:C,"048",SUA!F:F)</f>
        <v>0</v>
      </c>
      <c r="E7" s="222"/>
      <c r="F7" s="24"/>
    </row>
    <row r="8" spans="1:6" ht="22.5" customHeight="1" thickBot="1" x14ac:dyDescent="0.35">
      <c r="A8" s="174" t="s">
        <v>1221</v>
      </c>
      <c r="B8" s="41"/>
      <c r="C8" s="41"/>
      <c r="D8" s="238">
        <f>SUMIF(SUA!C:C,"049",SUA!F:F)</f>
        <v>0</v>
      </c>
      <c r="E8" s="222"/>
      <c r="F8" s="24"/>
    </row>
    <row r="9" spans="1:6" ht="22.5" customHeight="1" thickBot="1" x14ac:dyDescent="0.35">
      <c r="A9" s="174" t="s">
        <v>1277</v>
      </c>
      <c r="B9" s="41"/>
      <c r="C9" s="41"/>
      <c r="D9" s="238">
        <f>SUMIF(SUA!C:C,"051",SUA!F:F)</f>
        <v>0</v>
      </c>
      <c r="E9" s="222"/>
      <c r="F9" s="24"/>
    </row>
    <row r="10" spans="1:6" ht="22.5" customHeight="1" thickBot="1" x14ac:dyDescent="0.35">
      <c r="A10" s="129" t="s">
        <v>672</v>
      </c>
      <c r="B10" s="14">
        <f>SUM(B5:B9)</f>
        <v>0</v>
      </c>
      <c r="C10" s="14">
        <f>SUM(C5:C9)</f>
        <v>0</v>
      </c>
      <c r="D10" s="64">
        <f>SUM(D5:D9)</f>
        <v>0</v>
      </c>
      <c r="E10" s="222"/>
      <c r="F10" s="222"/>
    </row>
    <row r="11" spans="1:6" ht="22.5" customHeight="1" thickTop="1" thickBot="1" x14ac:dyDescent="0.35">
      <c r="A11" s="107" t="s">
        <v>252</v>
      </c>
      <c r="B11" s="8"/>
      <c r="C11" s="8"/>
      <c r="D11" s="235"/>
      <c r="E11" s="222"/>
      <c r="F11" s="222"/>
    </row>
    <row r="12" spans="1:6" ht="22.5" customHeight="1" thickTop="1" thickBot="1" x14ac:dyDescent="0.35">
      <c r="A12" s="174" t="s">
        <v>865</v>
      </c>
      <c r="B12" s="41"/>
      <c r="C12" s="41"/>
      <c r="D12" s="238">
        <f>SUMIF(SUA!C:C,"054",SUA!F:F)</f>
        <v>1721939.29</v>
      </c>
      <c r="E12" s="222"/>
      <c r="F12" s="24"/>
    </row>
    <row r="13" spans="1:6" ht="22.5" customHeight="1" thickBot="1" x14ac:dyDescent="0.35">
      <c r="A13" s="174" t="s">
        <v>1048</v>
      </c>
      <c r="B13" s="41"/>
      <c r="C13" s="41"/>
      <c r="D13" s="238">
        <f>SUMIF(SUA!C:C,"059",SUA!F:F)</f>
        <v>0</v>
      </c>
      <c r="E13" s="222"/>
      <c r="F13" s="24"/>
    </row>
    <row r="14" spans="1:6" ht="22.5" customHeight="1" thickBot="1" x14ac:dyDescent="0.35">
      <c r="A14" s="174" t="s">
        <v>424</v>
      </c>
      <c r="B14" s="41"/>
      <c r="C14" s="41"/>
      <c r="D14" s="238">
        <f>SUMIF(SUA!C:C,"060",SUA!F:F)</f>
        <v>0</v>
      </c>
      <c r="E14" s="222"/>
      <c r="F14" s="24"/>
    </row>
    <row r="15" spans="1:6" ht="22.5" customHeight="1" thickBot="1" x14ac:dyDescent="0.35">
      <c r="A15" s="174" t="s">
        <v>1221</v>
      </c>
      <c r="B15" s="41"/>
      <c r="C15" s="41"/>
      <c r="D15" s="238">
        <f>SUMIF(SUA!C:C,"061",SUA!F:F)</f>
        <v>0</v>
      </c>
      <c r="E15" s="222"/>
      <c r="F15" s="24"/>
    </row>
    <row r="16" spans="1:6" ht="22.5" customHeight="1" thickBot="1" x14ac:dyDescent="0.35">
      <c r="A16" s="174" t="s">
        <v>1113</v>
      </c>
      <c r="B16" s="41"/>
      <c r="C16" s="41"/>
      <c r="D16" s="238">
        <f>SUMIF(SUA!C:C,"062",SUA!F:F)</f>
        <v>0</v>
      </c>
      <c r="E16" s="222"/>
      <c r="F16" s="24"/>
    </row>
    <row r="17" spans="1:6" ht="22.5" customHeight="1" thickBot="1" x14ac:dyDescent="0.35">
      <c r="A17" s="174" t="s">
        <v>393</v>
      </c>
      <c r="B17" s="41"/>
      <c r="C17" s="41"/>
      <c r="D17" s="238">
        <f>SUMIF(SUA!C:C,"063",SUA!F:F)</f>
        <v>247066.12</v>
      </c>
      <c r="E17" s="222"/>
      <c r="F17" s="24"/>
    </row>
    <row r="18" spans="1:6" ht="22.5" customHeight="1" thickBot="1" x14ac:dyDescent="0.35">
      <c r="A18" s="174" t="s">
        <v>1277</v>
      </c>
      <c r="B18" s="41"/>
      <c r="C18" s="41"/>
      <c r="D18" s="238">
        <f>SUMIF(SUA!C:C,"065",SUA!F:F)</f>
        <v>16726.39</v>
      </c>
      <c r="E18" s="222"/>
      <c r="F18" s="24"/>
    </row>
    <row r="19" spans="1:6" ht="22.5" customHeight="1" thickBot="1" x14ac:dyDescent="0.35">
      <c r="A19" s="129" t="s">
        <v>395</v>
      </c>
      <c r="B19" s="14">
        <f>SUM(B12:B18)</f>
        <v>0</v>
      </c>
      <c r="C19" s="14">
        <f>SUM(C12:C18)</f>
        <v>0</v>
      </c>
      <c r="D19" s="122">
        <f>SUM(D12:D18)</f>
        <v>1985731.8</v>
      </c>
    </row>
    <row r="20" spans="1:6" ht="15" thickTop="1" x14ac:dyDescent="0.3">
      <c r="A20" s="85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5"/>
  <sheetViews>
    <sheetView showGridLines="0" zoomScaleNormal="100" zoomScaleSheetLayoutView="100" workbookViewId="0"/>
  </sheetViews>
  <sheetFormatPr defaultRowHeight="14.4" x14ac:dyDescent="0.3"/>
  <cols>
    <col min="1" max="1" width="32.44140625" customWidth="1"/>
    <col min="2" max="3" width="27" customWidth="1"/>
    <col min="4" max="4" width="20.109375" customWidth="1"/>
    <col min="5" max="6" width="20.44140625" customWidth="1"/>
  </cols>
  <sheetData>
    <row r="1" spans="1:3" ht="15" thickBot="1" x14ac:dyDescent="0.35">
      <c r="A1" s="270" t="s">
        <v>170</v>
      </c>
      <c r="B1" s="270"/>
      <c r="C1" s="270"/>
    </row>
    <row r="2" spans="1:3" ht="15.6" thickTop="1" thickBot="1" x14ac:dyDescent="0.35">
      <c r="A2" s="252" t="s">
        <v>88</v>
      </c>
      <c r="B2" s="271" t="s">
        <v>137</v>
      </c>
      <c r="C2" s="272"/>
    </row>
    <row r="3" spans="1:3" ht="15.6" thickTop="1" thickBot="1" x14ac:dyDescent="0.35">
      <c r="A3" s="266"/>
      <c r="B3" s="32" t="s">
        <v>1192</v>
      </c>
      <c r="C3" s="211" t="s">
        <v>202</v>
      </c>
    </row>
    <row r="4" spans="1:3" ht="21.6" thickTop="1" thickBot="1" x14ac:dyDescent="0.35">
      <c r="A4" s="195" t="s">
        <v>1139</v>
      </c>
      <c r="B4" s="22"/>
      <c r="C4" s="230"/>
    </row>
    <row r="5" spans="1:3" ht="21" thickBot="1" x14ac:dyDescent="0.35">
      <c r="A5" s="174" t="s">
        <v>621</v>
      </c>
      <c r="B5" s="9" t="s">
        <v>81</v>
      </c>
      <c r="C5" s="128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0"/>
  <sheetViews>
    <sheetView showGridLines="0" topLeftCell="A115" zoomScaleNormal="100" zoomScaleSheetLayoutView="100" workbookViewId="0"/>
  </sheetViews>
  <sheetFormatPr defaultRowHeight="14.4" x14ac:dyDescent="0.3"/>
  <cols>
    <col min="1" max="1" width="33.33203125" customWidth="1"/>
    <col min="2" max="3" width="26.109375" customWidth="1"/>
  </cols>
  <sheetData>
    <row r="1" spans="1:3" ht="15" thickBot="1" x14ac:dyDescent="0.35">
      <c r="A1" s="44" t="s">
        <v>422</v>
      </c>
    </row>
    <row r="2" spans="1:3" ht="21.75" customHeight="1" thickTop="1" thickBot="1" x14ac:dyDescent="0.35">
      <c r="A2" s="196" t="s">
        <v>147</v>
      </c>
      <c r="B2" s="32" t="s">
        <v>137</v>
      </c>
      <c r="C2" s="32" t="s">
        <v>860</v>
      </c>
    </row>
    <row r="3" spans="1:3" ht="22.5" customHeight="1" thickTop="1" thickBot="1" x14ac:dyDescent="0.35">
      <c r="A3" s="195" t="s">
        <v>256</v>
      </c>
      <c r="B3" s="230">
        <v>55</v>
      </c>
      <c r="C3" s="230">
        <v>61</v>
      </c>
    </row>
    <row r="4" spans="1:3" ht="22.5" customHeight="1" thickBot="1" x14ac:dyDescent="0.35">
      <c r="A4" s="174" t="s">
        <v>309</v>
      </c>
      <c r="B4" s="128">
        <v>62</v>
      </c>
      <c r="C4" s="128">
        <v>73</v>
      </c>
    </row>
    <row r="5" spans="1:3" ht="22.5" customHeight="1" thickBot="1" x14ac:dyDescent="0.35">
      <c r="A5" s="37" t="s">
        <v>1030</v>
      </c>
      <c r="B5" s="218">
        <v>5</v>
      </c>
      <c r="C5" s="218">
        <v>5</v>
      </c>
    </row>
    <row r="6" spans="1:3" ht="15" thickTop="1" x14ac:dyDescent="0.3"/>
    <row r="8" spans="1:3" x14ac:dyDescent="0.3">
      <c r="B8" t="s">
        <v>1389</v>
      </c>
    </row>
    <row r="9" spans="1:3" x14ac:dyDescent="0.3">
      <c r="B9" t="s">
        <v>1390</v>
      </c>
    </row>
    <row r="11" spans="1:3" x14ac:dyDescent="0.3">
      <c r="B11" t="s">
        <v>1391</v>
      </c>
    </row>
    <row r="12" spans="1:3" x14ac:dyDescent="0.3">
      <c r="B12" t="s">
        <v>1392</v>
      </c>
    </row>
    <row r="13" spans="1:3" x14ac:dyDescent="0.3">
      <c r="B13" t="s">
        <v>1393</v>
      </c>
    </row>
    <row r="14" spans="1:3" x14ac:dyDescent="0.3">
      <c r="B14" t="s">
        <v>1394</v>
      </c>
    </row>
    <row r="15" spans="1:3" x14ac:dyDescent="0.3">
      <c r="B15" t="s">
        <v>1395</v>
      </c>
    </row>
    <row r="17" spans="2:2" x14ac:dyDescent="0.3">
      <c r="B17" t="s">
        <v>1396</v>
      </c>
    </row>
    <row r="18" spans="2:2" x14ac:dyDescent="0.3">
      <c r="B18" t="s">
        <v>1397</v>
      </c>
    </row>
    <row r="19" spans="2:2" x14ac:dyDescent="0.3">
      <c r="B19" t="s">
        <v>1398</v>
      </c>
    </row>
    <row r="20" spans="2:2" x14ac:dyDescent="0.3">
      <c r="B20" t="s">
        <v>1381</v>
      </c>
    </row>
    <row r="21" spans="2:2" x14ac:dyDescent="0.3">
      <c r="B21" t="s">
        <v>1399</v>
      </c>
    </row>
    <row r="22" spans="2:2" x14ac:dyDescent="0.3">
      <c r="B22" t="s">
        <v>1381</v>
      </c>
    </row>
    <row r="23" spans="2:2" x14ac:dyDescent="0.3">
      <c r="B23" t="s">
        <v>1400</v>
      </c>
    </row>
    <row r="24" spans="2:2" x14ac:dyDescent="0.3">
      <c r="B24" t="s">
        <v>1401</v>
      </c>
    </row>
    <row r="26" spans="2:2" x14ac:dyDescent="0.3">
      <c r="B26" t="s">
        <v>1402</v>
      </c>
    </row>
    <row r="27" spans="2:2" x14ac:dyDescent="0.3">
      <c r="B27" t="s">
        <v>1403</v>
      </c>
    </row>
    <row r="29" spans="2:2" x14ac:dyDescent="0.3">
      <c r="B29" t="s">
        <v>1381</v>
      </c>
    </row>
    <row r="30" spans="2:2" x14ac:dyDescent="0.3">
      <c r="B30" t="s">
        <v>1381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zoomScaleSheetLayoutView="100" workbookViewId="0"/>
  </sheetViews>
  <sheetFormatPr defaultRowHeight="14.4" x14ac:dyDescent="0.3"/>
  <cols>
    <col min="1" max="1" width="32.44140625" customWidth="1"/>
    <col min="2" max="3" width="27" customWidth="1"/>
    <col min="4" max="6" width="20.44140625" customWidth="1"/>
  </cols>
  <sheetData>
    <row r="1" spans="1:3" x14ac:dyDescent="0.3">
      <c r="A1" s="44" t="s">
        <v>163</v>
      </c>
    </row>
    <row r="2" spans="1:3" ht="15" thickBot="1" x14ac:dyDescent="0.35">
      <c r="A2" s="72" t="s">
        <v>30</v>
      </c>
    </row>
    <row r="3" spans="1:3" ht="21.6" thickTop="1" thickBot="1" x14ac:dyDescent="0.35">
      <c r="A3" s="196" t="s">
        <v>592</v>
      </c>
      <c r="B3" s="32" t="s">
        <v>137</v>
      </c>
      <c r="C3" s="32" t="s">
        <v>860</v>
      </c>
    </row>
    <row r="4" spans="1:3" ht="15.6" thickTop="1" thickBot="1" x14ac:dyDescent="0.35">
      <c r="A4" s="127" t="s">
        <v>791</v>
      </c>
      <c r="B4" s="120">
        <f>SUMIF(SUA!C:C,"072",SUA!F:F)</f>
        <v>103397.83</v>
      </c>
      <c r="C4" s="201">
        <f>SUMIF(SUA!C:C,"072",SUA!G:G)</f>
        <v>333111.74</v>
      </c>
    </row>
    <row r="5" spans="1:3" ht="15" thickBot="1" x14ac:dyDescent="0.35">
      <c r="A5" s="114" t="s">
        <v>200</v>
      </c>
      <c r="B5" s="245">
        <f>SUMIF(SUA!C:C,"073",SUA!F:F)-(SUMIF(HK!A:A,"261*",HK!K:K)+SUMIF(HK!A:A,"261*",HK!L:L))</f>
        <v>1180795.75</v>
      </c>
      <c r="C5" s="60">
        <f>SUMIF(SUA!C:C,"073",SUA!G:G)-(SUMIF(HK!A:A,"261*",HK!C:C)+SUMIF(HK!A:A,"261*",HK!D:D))</f>
        <v>1476192.65</v>
      </c>
    </row>
    <row r="6" spans="1:3" ht="15" thickBot="1" x14ac:dyDescent="0.35">
      <c r="A6" s="114" t="s">
        <v>338</v>
      </c>
      <c r="B6" s="245">
        <f>SUMIF(SUA!C:C,"030",SUA!F:F)</f>
        <v>0</v>
      </c>
      <c r="C6" s="60">
        <f>SUMIF(SUA!C:C,"030",SUA!G:G)</f>
        <v>0</v>
      </c>
    </row>
    <row r="7" spans="1:3" ht="15" thickBot="1" x14ac:dyDescent="0.35">
      <c r="A7" s="114" t="s">
        <v>754</v>
      </c>
      <c r="B7" s="245">
        <f>SUMIF(HK!A:A,"261*",HK!K:K)-SUMIF(HK!A:A,"261*",HK!L:L)</f>
        <v>0</v>
      </c>
      <c r="C7" s="60">
        <f>SUMIF(HK!A:A,"261*",HK!C:C)-SUMIF(HK!A:A,"261*",HK!D:D)</f>
        <v>0</v>
      </c>
    </row>
    <row r="8" spans="1:3" ht="15" thickBot="1" x14ac:dyDescent="0.35">
      <c r="A8" s="126" t="s">
        <v>1027</v>
      </c>
      <c r="B8" s="142">
        <f>SUM(B4:B7)</f>
        <v>1284193.58</v>
      </c>
      <c r="C8" s="122">
        <f>SUM(C4:C7)</f>
        <v>1809304.39</v>
      </c>
    </row>
    <row r="9" spans="1:3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3"/>
  <sheetViews>
    <sheetView showGridLines="0" zoomScaleNormal="100" zoomScaleSheetLayoutView="100" workbookViewId="0"/>
  </sheetViews>
  <sheetFormatPr defaultRowHeight="14.4" x14ac:dyDescent="0.3"/>
  <cols>
    <col min="1" max="1" width="24.5546875" customWidth="1"/>
    <col min="2" max="5" width="15.44140625" customWidth="1"/>
    <col min="6" max="6" width="20.44140625" customWidth="1"/>
  </cols>
  <sheetData>
    <row r="1" spans="1:7" x14ac:dyDescent="0.3">
      <c r="A1" s="44" t="s">
        <v>163</v>
      </c>
    </row>
    <row r="2" spans="1:7" ht="15" thickBot="1" x14ac:dyDescent="0.35">
      <c r="A2" s="72" t="s">
        <v>8</v>
      </c>
    </row>
    <row r="3" spans="1:7" ht="15.6" thickTop="1" thickBot="1" x14ac:dyDescent="0.35">
      <c r="A3" s="252" t="s">
        <v>772</v>
      </c>
      <c r="B3" s="257" t="s">
        <v>137</v>
      </c>
      <c r="C3" s="258"/>
      <c r="D3" s="258"/>
      <c r="E3" s="259"/>
    </row>
    <row r="4" spans="1:7" ht="18" customHeight="1" thickTop="1" x14ac:dyDescent="0.3">
      <c r="A4" s="253"/>
      <c r="B4" s="253" t="s">
        <v>69</v>
      </c>
      <c r="C4" s="253" t="s">
        <v>1261</v>
      </c>
      <c r="D4" s="253" t="s">
        <v>18</v>
      </c>
      <c r="E4" s="253" t="s">
        <v>101</v>
      </c>
    </row>
    <row r="5" spans="1:7" ht="17.25" customHeight="1" thickBot="1" x14ac:dyDescent="0.35">
      <c r="A5" s="266"/>
      <c r="B5" s="266"/>
      <c r="C5" s="266"/>
      <c r="D5" s="266"/>
      <c r="E5" s="266"/>
    </row>
    <row r="6" spans="1:7" ht="21.75" customHeight="1" thickTop="1" thickBot="1" x14ac:dyDescent="0.35">
      <c r="A6" s="174" t="s">
        <v>1053</v>
      </c>
      <c r="B6" s="139">
        <f>SUMIF(HK!A:A,"251*",HK!C:C)-SUMIF(HK!A:A,"251*",HK!D:D)</f>
        <v>0</v>
      </c>
      <c r="C6" s="241"/>
      <c r="D6" s="241"/>
      <c r="E6" s="238">
        <f>SUMIF(HK!A:A,"251*",HK!K:K)-SUMIF(HK!A:A,"251*",HK!L:L)</f>
        <v>0</v>
      </c>
      <c r="F6" s="222"/>
      <c r="G6" s="24"/>
    </row>
    <row r="7" spans="1:7" ht="21.75" customHeight="1" thickBot="1" x14ac:dyDescent="0.35">
      <c r="A7" s="174" t="s">
        <v>214</v>
      </c>
      <c r="B7" s="139">
        <f>SUMIF(HK!A:A,"253*",HK!C:C)-SUMIF(HK!A:A,"253*",HK!D:D)</f>
        <v>0</v>
      </c>
      <c r="C7" s="241"/>
      <c r="D7" s="241"/>
      <c r="E7" s="238">
        <f>SUMIF(HK!A:A,"253*",HK!K:K)-SUMIF(HK!A:A,"253*",HK!L:L)</f>
        <v>0</v>
      </c>
      <c r="F7" s="222"/>
      <c r="G7" s="24"/>
    </row>
    <row r="8" spans="1:7" ht="21.75" customHeight="1" thickBot="1" x14ac:dyDescent="0.35">
      <c r="A8" s="174" t="s">
        <v>129</v>
      </c>
      <c r="B8" s="139"/>
      <c r="C8" s="241"/>
      <c r="D8" s="241"/>
      <c r="E8" s="238"/>
      <c r="F8" s="222"/>
      <c r="G8" s="222"/>
    </row>
    <row r="9" spans="1:7" ht="21.75" customHeight="1" thickBot="1" x14ac:dyDescent="0.35">
      <c r="A9" s="174" t="s">
        <v>21</v>
      </c>
      <c r="B9" s="139">
        <f>SUMIF(HK!A:A,"256*",HK!C:C)-SUMIF(HK!A:A,"256*",HK!D:D)</f>
        <v>0</v>
      </c>
      <c r="C9" s="241"/>
      <c r="D9" s="241"/>
      <c r="E9" s="238">
        <f>SUMIF(HK!A:A,"256*",HK!K:K)-SUMIF(HK!A:A,"256*",HK!L:L)</f>
        <v>0</v>
      </c>
      <c r="F9" s="222"/>
      <c r="G9" s="24"/>
    </row>
    <row r="10" spans="1:7" ht="21.75" customHeight="1" thickBot="1" x14ac:dyDescent="0.35">
      <c r="A10" s="174" t="s">
        <v>1193</v>
      </c>
      <c r="B10" s="139">
        <f>SUMIF(HK!A:A,"257*",HK!C:C)-SUMIF(HK!A:A,"257*",HK!D:D)</f>
        <v>0</v>
      </c>
      <c r="C10" s="241"/>
      <c r="D10" s="241"/>
      <c r="E10" s="238">
        <f>SUMIF(HK!A:A,"257*",HK!K:K)-SUMIF(HK!A:A,"257*",HK!L:L)</f>
        <v>0</v>
      </c>
      <c r="F10" s="222"/>
      <c r="G10" s="24"/>
    </row>
    <row r="11" spans="1:7" ht="21.75" customHeight="1" thickBot="1" x14ac:dyDescent="0.35">
      <c r="A11" s="174" t="s">
        <v>158</v>
      </c>
      <c r="B11" s="139">
        <f>SUMIF(HK!A:A,"259*",HK!C:C)-SUMIF(HK!A:A,"259*",HK!D:D)</f>
        <v>0</v>
      </c>
      <c r="C11" s="241"/>
      <c r="D11" s="241"/>
      <c r="E11" s="238">
        <f>SUMIF(HK!A:A,"259*",HK!K:K)-SUMIF(HK!A:A,"259*",HK!L:L)</f>
        <v>0</v>
      </c>
      <c r="F11" s="222"/>
      <c r="G11" s="24"/>
    </row>
    <row r="12" spans="1:7" ht="21.75" customHeight="1" thickBot="1" x14ac:dyDescent="0.35">
      <c r="A12" s="129" t="s">
        <v>58</v>
      </c>
      <c r="B12" s="14">
        <f>SUM(B6:B11)</f>
        <v>0</v>
      </c>
      <c r="C12" s="14">
        <f>SUM(C6:C11)</f>
        <v>0</v>
      </c>
      <c r="D12" s="14">
        <f>SUM(D6:D11)</f>
        <v>0</v>
      </c>
      <c r="E12" s="122">
        <f>SUM(E6:E11)</f>
        <v>0</v>
      </c>
    </row>
    <row r="13" spans="1:7" ht="15" thickTop="1" x14ac:dyDescent="0.3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"/>
  <sheetViews>
    <sheetView showGridLines="0" zoomScaleNormal="100" zoomScaleSheetLayoutView="100" workbookViewId="0">
      <selection sqref="A1:F1"/>
    </sheetView>
  </sheetViews>
  <sheetFormatPr defaultRowHeight="14.4" x14ac:dyDescent="0.3"/>
  <cols>
    <col min="1" max="1" width="21.44140625" customWidth="1"/>
    <col min="2" max="6" width="13" customWidth="1"/>
  </cols>
  <sheetData>
    <row r="1" spans="1:10" ht="33.75" customHeight="1" thickBot="1" x14ac:dyDescent="0.35">
      <c r="A1" s="270" t="s">
        <v>470</v>
      </c>
      <c r="B1" s="270"/>
      <c r="C1" s="270"/>
      <c r="D1" s="270"/>
      <c r="E1" s="270"/>
      <c r="F1" s="270"/>
      <c r="G1" s="173"/>
    </row>
    <row r="2" spans="1:10" ht="55.5" customHeight="1" thickTop="1" thickBot="1" x14ac:dyDescent="0.35">
      <c r="A2" s="211" t="s">
        <v>177</v>
      </c>
      <c r="B2" s="211" t="s">
        <v>155</v>
      </c>
      <c r="C2" s="211" t="s">
        <v>868</v>
      </c>
      <c r="D2" s="211" t="s">
        <v>1009</v>
      </c>
      <c r="E2" s="211" t="s">
        <v>464</v>
      </c>
      <c r="F2" s="211" t="s">
        <v>874</v>
      </c>
    </row>
    <row r="3" spans="1:10" ht="23.25" customHeight="1" thickTop="1" thickBot="1" x14ac:dyDescent="0.35">
      <c r="A3" s="17" t="s">
        <v>1193</v>
      </c>
      <c r="B3" s="139">
        <f>SUMIF(SUAM!C:C,"069",SUAM!E:E)</f>
        <v>0</v>
      </c>
      <c r="C3" s="140"/>
      <c r="D3" s="140"/>
      <c r="E3" s="140"/>
      <c r="F3" s="75">
        <f>SUMIF(SUA!C:C,"069",SUA!E:E)</f>
        <v>0</v>
      </c>
      <c r="G3" s="222"/>
      <c r="H3" s="24"/>
      <c r="J3" s="232"/>
    </row>
    <row r="4" spans="1:10" ht="23.25" customHeight="1" thickBot="1" x14ac:dyDescent="0.35">
      <c r="A4" s="174" t="s">
        <v>158</v>
      </c>
      <c r="B4" s="139">
        <f>SUMIF(SUAM!C:C,"070",SUAM!E:E)</f>
        <v>0</v>
      </c>
      <c r="C4" s="140"/>
      <c r="D4" s="140"/>
      <c r="E4" s="140"/>
      <c r="F4" s="75">
        <f>SUMIF(SUA!C:C,"070",SUA!E:E)</f>
        <v>0</v>
      </c>
      <c r="G4" s="222"/>
      <c r="H4" s="24"/>
      <c r="J4" s="232"/>
    </row>
    <row r="5" spans="1:10" ht="23.25" customHeight="1" thickBot="1" x14ac:dyDescent="0.35">
      <c r="A5" s="129" t="s">
        <v>58</v>
      </c>
      <c r="B5" s="106">
        <f>SUM(B3:B4)</f>
        <v>0</v>
      </c>
      <c r="C5" s="106">
        <f>SUM(C3:C4)</f>
        <v>0</v>
      </c>
      <c r="D5" s="106">
        <f>SUM(D3:D4)</f>
        <v>0</v>
      </c>
      <c r="E5" s="106">
        <f>SUM(E3:E4)</f>
        <v>0</v>
      </c>
      <c r="F5" s="219">
        <f>SUM(B5:E5)</f>
        <v>0</v>
      </c>
    </row>
    <row r="6" spans="1:10" ht="15" thickTop="1" x14ac:dyDescent="0.3"/>
    <row r="10" spans="1:10" x14ac:dyDescent="0.3">
      <c r="B10" s="146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"/>
  <sheetViews>
    <sheetView showGridLines="0" zoomScaleNormal="100" zoomScaleSheetLayoutView="100" workbookViewId="0">
      <selection sqref="A1:B1"/>
    </sheetView>
  </sheetViews>
  <sheetFormatPr defaultRowHeight="14.4" x14ac:dyDescent="0.3"/>
  <cols>
    <col min="1" max="2" width="43.33203125" customWidth="1"/>
    <col min="3" max="3" width="19.109375" customWidth="1"/>
  </cols>
  <sheetData>
    <row r="1" spans="1:3" ht="31.5" customHeight="1" thickBot="1" x14ac:dyDescent="0.35">
      <c r="A1" s="270" t="s">
        <v>308</v>
      </c>
      <c r="B1" s="270"/>
      <c r="C1" s="173"/>
    </row>
    <row r="2" spans="1:3" ht="15.6" thickTop="1" thickBot="1" x14ac:dyDescent="0.35">
      <c r="A2" s="98" t="s">
        <v>592</v>
      </c>
      <c r="B2" s="203" t="s">
        <v>1004</v>
      </c>
    </row>
    <row r="3" spans="1:3" ht="21.6" thickTop="1" thickBot="1" x14ac:dyDescent="0.35">
      <c r="A3" s="195" t="s">
        <v>840</v>
      </c>
      <c r="B3" s="133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8"/>
  <sheetViews>
    <sheetView showGridLines="0" zoomScaleNormal="100" zoomScaleSheetLayoutView="100" workbookViewId="0">
      <selection sqref="A1:D1"/>
    </sheetView>
  </sheetViews>
  <sheetFormatPr defaultRowHeight="14.4" x14ac:dyDescent="0.3"/>
  <cols>
    <col min="1" max="1" width="26.109375" customWidth="1"/>
    <col min="2" max="4" width="20.109375" customWidth="1"/>
  </cols>
  <sheetData>
    <row r="1" spans="1:4" s="173" customFormat="1" ht="36.75" customHeight="1" thickBot="1" x14ac:dyDescent="0.35">
      <c r="A1" s="270" t="s">
        <v>1286</v>
      </c>
      <c r="B1" s="270"/>
      <c r="C1" s="270"/>
      <c r="D1" s="270"/>
    </row>
    <row r="2" spans="1:4" ht="44.25" customHeight="1" thickTop="1" thickBot="1" x14ac:dyDescent="0.35">
      <c r="A2" s="109" t="s">
        <v>177</v>
      </c>
      <c r="B2" s="47" t="s">
        <v>295</v>
      </c>
      <c r="C2" s="47" t="s">
        <v>228</v>
      </c>
      <c r="D2" s="47" t="s">
        <v>1143</v>
      </c>
    </row>
    <row r="3" spans="1:4" ht="15.6" thickTop="1" thickBot="1" x14ac:dyDescent="0.35">
      <c r="A3" s="17" t="s">
        <v>1053</v>
      </c>
      <c r="B3" s="208"/>
      <c r="C3" s="208"/>
      <c r="D3" s="35"/>
    </row>
    <row r="4" spans="1:4" ht="15" thickBot="1" x14ac:dyDescent="0.35">
      <c r="A4" s="17" t="s">
        <v>214</v>
      </c>
      <c r="B4" s="208"/>
      <c r="C4" s="208"/>
      <c r="D4" s="35"/>
    </row>
    <row r="5" spans="1:4" ht="15" thickBot="1" x14ac:dyDescent="0.35">
      <c r="A5" s="17" t="s">
        <v>87</v>
      </c>
      <c r="B5" s="208"/>
      <c r="C5" s="208"/>
      <c r="D5" s="35"/>
    </row>
    <row r="6" spans="1:4" ht="15" thickBot="1" x14ac:dyDescent="0.35">
      <c r="A6" s="17" t="s">
        <v>1193</v>
      </c>
      <c r="B6" s="208"/>
      <c r="C6" s="208"/>
      <c r="D6" s="35"/>
    </row>
    <row r="7" spans="1:4" ht="26.25" customHeight="1" thickBot="1" x14ac:dyDescent="0.35">
      <c r="A7" s="68" t="s">
        <v>58</v>
      </c>
      <c r="B7" s="13"/>
      <c r="C7" s="13"/>
      <c r="D7" s="121"/>
    </row>
    <row r="8" spans="1:4" ht="15" thickTop="1" x14ac:dyDescent="0.3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"/>
  <sheetViews>
    <sheetView showGridLines="0" zoomScaleNormal="100" zoomScaleSheetLayoutView="100" workbookViewId="0"/>
  </sheetViews>
  <sheetFormatPr defaultRowHeight="14.4" x14ac:dyDescent="0.3"/>
  <cols>
    <col min="1" max="1" width="14.44140625" customWidth="1"/>
    <col min="2" max="7" width="12" customWidth="1"/>
  </cols>
  <sheetData>
    <row r="1" spans="1:7" ht="15" thickBot="1" x14ac:dyDescent="0.35">
      <c r="A1" s="44" t="s">
        <v>1140</v>
      </c>
    </row>
    <row r="2" spans="1:7" ht="36.75" customHeight="1" thickTop="1" thickBot="1" x14ac:dyDescent="0.35">
      <c r="A2" s="273" t="s">
        <v>147</v>
      </c>
      <c r="B2" s="276" t="s">
        <v>137</v>
      </c>
      <c r="C2" s="277"/>
      <c r="D2" s="278"/>
      <c r="E2" s="257" t="s">
        <v>195</v>
      </c>
      <c r="F2" s="258"/>
      <c r="G2" s="259"/>
    </row>
    <row r="3" spans="1:7" ht="15.6" thickTop="1" thickBot="1" x14ac:dyDescent="0.35">
      <c r="A3" s="274"/>
      <c r="B3" s="276" t="s">
        <v>613</v>
      </c>
      <c r="C3" s="277"/>
      <c r="D3" s="278"/>
      <c r="E3" s="276" t="s">
        <v>613</v>
      </c>
      <c r="F3" s="277"/>
      <c r="G3" s="278"/>
    </row>
    <row r="4" spans="1:7" ht="31.8" thickTop="1" thickBot="1" x14ac:dyDescent="0.35">
      <c r="A4" s="275"/>
      <c r="B4" s="184" t="s">
        <v>676</v>
      </c>
      <c r="C4" s="184" t="s">
        <v>1331</v>
      </c>
      <c r="D4" s="184" t="s">
        <v>281</v>
      </c>
      <c r="E4" s="184" t="s">
        <v>676</v>
      </c>
      <c r="F4" s="184" t="s">
        <v>1331</v>
      </c>
      <c r="G4" s="184" t="s">
        <v>281</v>
      </c>
    </row>
    <row r="5" spans="1:7" ht="16.5" customHeight="1" thickTop="1" thickBot="1" x14ac:dyDescent="0.35">
      <c r="A5" s="17" t="s">
        <v>1222</v>
      </c>
      <c r="B5" s="208"/>
      <c r="C5" s="208"/>
      <c r="D5" s="208"/>
      <c r="E5" s="208"/>
      <c r="F5" s="208"/>
      <c r="G5" s="35"/>
    </row>
    <row r="6" spans="1:7" ht="15" thickBot="1" x14ac:dyDescent="0.35">
      <c r="A6" s="17" t="s">
        <v>329</v>
      </c>
      <c r="B6" s="208"/>
      <c r="C6" s="208"/>
      <c r="D6" s="208"/>
      <c r="E6" s="208"/>
      <c r="F6" s="208"/>
      <c r="G6" s="35"/>
    </row>
    <row r="7" spans="1:7" ht="15" thickBot="1" x14ac:dyDescent="0.35">
      <c r="A7" s="36" t="s">
        <v>1027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" thickTop="1" x14ac:dyDescent="0.3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zoomScaleSheetLayoutView="100" workbookViewId="0">
      <selection sqref="A1:B1"/>
    </sheetView>
  </sheetViews>
  <sheetFormatPr defaultRowHeight="14.4" x14ac:dyDescent="0.3"/>
  <cols>
    <col min="1" max="1" width="41" customWidth="1"/>
    <col min="2" max="2" width="45.44140625" customWidth="1"/>
    <col min="3" max="7" width="12" customWidth="1"/>
  </cols>
  <sheetData>
    <row r="1" spans="1:2" ht="16.5" customHeight="1" x14ac:dyDescent="0.3">
      <c r="A1" s="279" t="s">
        <v>925</v>
      </c>
      <c r="B1" s="279"/>
    </row>
    <row r="2" spans="1:2" ht="15" thickBot="1" x14ac:dyDescent="0.35">
      <c r="A2" s="146" t="s">
        <v>258</v>
      </c>
      <c r="B2" s="146"/>
    </row>
    <row r="3" spans="1:2" ht="15.6" thickTop="1" thickBot="1" x14ac:dyDescent="0.35">
      <c r="A3" s="109" t="s">
        <v>592</v>
      </c>
      <c r="B3" s="212" t="s">
        <v>860</v>
      </c>
    </row>
    <row r="4" spans="1:2" ht="15.6" thickTop="1" thickBot="1" x14ac:dyDescent="0.35">
      <c r="A4" s="36" t="s">
        <v>98</v>
      </c>
      <c r="B4" s="23">
        <f>IF(SUMIF(SUP!C:C,"100",SUP!E:E)&gt; 0,SUMIF(SUP!C:C,"100",SUP!E:E), 0)</f>
        <v>56174.07</v>
      </c>
    </row>
    <row r="5" spans="1:2" ht="15.6" thickTop="1" thickBot="1" x14ac:dyDescent="0.35">
      <c r="A5" s="36" t="s">
        <v>441</v>
      </c>
      <c r="B5" s="141" t="s">
        <v>137</v>
      </c>
    </row>
    <row r="6" spans="1:2" ht="15.6" thickTop="1" thickBot="1" x14ac:dyDescent="0.35">
      <c r="A6" s="17" t="s">
        <v>24</v>
      </c>
      <c r="B6" s="237"/>
    </row>
    <row r="7" spans="1:2" ht="15" thickBot="1" x14ac:dyDescent="0.35">
      <c r="A7" s="17" t="s">
        <v>977</v>
      </c>
      <c r="B7" s="237"/>
    </row>
    <row r="8" spans="1:2" ht="15" thickBot="1" x14ac:dyDescent="0.35">
      <c r="A8" s="17" t="s">
        <v>594</v>
      </c>
      <c r="B8" s="237"/>
    </row>
    <row r="9" spans="1:2" ht="15" thickBot="1" x14ac:dyDescent="0.35">
      <c r="A9" s="17" t="s">
        <v>1025</v>
      </c>
      <c r="B9" s="237"/>
    </row>
    <row r="10" spans="1:2" ht="15" thickBot="1" x14ac:dyDescent="0.35">
      <c r="A10" s="17" t="s">
        <v>1060</v>
      </c>
      <c r="B10" s="237"/>
    </row>
    <row r="11" spans="1:2" ht="15" thickBot="1" x14ac:dyDescent="0.35">
      <c r="A11" s="17" t="s">
        <v>19</v>
      </c>
      <c r="B11" s="237"/>
    </row>
    <row r="12" spans="1:2" ht="15" thickBot="1" x14ac:dyDescent="0.35">
      <c r="A12" s="17" t="s">
        <v>1270</v>
      </c>
      <c r="B12" s="237"/>
    </row>
    <row r="13" spans="1:2" ht="15" thickBot="1" x14ac:dyDescent="0.35">
      <c r="A13" s="17" t="s">
        <v>574</v>
      </c>
      <c r="B13" s="237"/>
    </row>
    <row r="14" spans="1:2" ht="15" thickBot="1" x14ac:dyDescent="0.35">
      <c r="A14" s="36" t="s">
        <v>1027</v>
      </c>
      <c r="B14" s="65">
        <f>SUM(B6:B13)</f>
        <v>0</v>
      </c>
    </row>
    <row r="15" spans="1:2" ht="15" thickTop="1" x14ac:dyDescent="0.3">
      <c r="A15" s="146"/>
      <c r="B15" s="7"/>
    </row>
    <row r="16" spans="1:2" ht="15" thickBot="1" x14ac:dyDescent="0.35">
      <c r="A16" s="146" t="s">
        <v>8</v>
      </c>
      <c r="B16" s="7"/>
    </row>
    <row r="17" spans="1:2" ht="15.6" thickTop="1" thickBot="1" x14ac:dyDescent="0.35">
      <c r="A17" s="109" t="s">
        <v>592</v>
      </c>
      <c r="B17" s="10" t="s">
        <v>860</v>
      </c>
    </row>
    <row r="18" spans="1:2" ht="15.6" thickTop="1" thickBot="1" x14ac:dyDescent="0.35">
      <c r="A18" s="36" t="s">
        <v>544</v>
      </c>
      <c r="B18" s="23">
        <f>IF(SUMIF(SUP!C:C,"100",SUP!E:E)&gt; 0,0,SUMIF(SUP!C:C,"100",SUP!E:E))</f>
        <v>0</v>
      </c>
    </row>
    <row r="19" spans="1:2" ht="15.6" thickTop="1" thickBot="1" x14ac:dyDescent="0.35">
      <c r="A19" s="36" t="s">
        <v>233</v>
      </c>
      <c r="B19" s="141" t="s">
        <v>137</v>
      </c>
    </row>
    <row r="20" spans="1:2" ht="15.6" thickTop="1" thickBot="1" x14ac:dyDescent="0.35">
      <c r="A20" s="17" t="s">
        <v>265</v>
      </c>
      <c r="B20" s="237"/>
    </row>
    <row r="21" spans="1:2" ht="15" thickBot="1" x14ac:dyDescent="0.35">
      <c r="A21" s="17" t="s">
        <v>788</v>
      </c>
      <c r="B21" s="35"/>
    </row>
    <row r="22" spans="1:2" ht="15" thickBot="1" x14ac:dyDescent="0.35">
      <c r="A22" s="17" t="s">
        <v>108</v>
      </c>
      <c r="B22" s="35"/>
    </row>
    <row r="23" spans="1:2" ht="15" thickBot="1" x14ac:dyDescent="0.35">
      <c r="A23" s="17" t="s">
        <v>723</v>
      </c>
      <c r="B23" s="35"/>
    </row>
    <row r="24" spans="1:2" ht="15" thickBot="1" x14ac:dyDescent="0.35">
      <c r="A24" s="17" t="s">
        <v>1332</v>
      </c>
      <c r="B24" s="35"/>
    </row>
    <row r="25" spans="1:2" ht="15" thickBot="1" x14ac:dyDescent="0.35">
      <c r="A25" s="17" t="s">
        <v>574</v>
      </c>
      <c r="B25" s="35"/>
    </row>
    <row r="26" spans="1:2" ht="15" thickBot="1" x14ac:dyDescent="0.35">
      <c r="A26" s="36" t="s">
        <v>1218</v>
      </c>
      <c r="B26" s="121">
        <f>SUM(B20:B25)</f>
        <v>0</v>
      </c>
    </row>
    <row r="27" spans="1:2" ht="15" thickTop="1" x14ac:dyDescent="0.3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zoomScaleNormal="100" zoomScaleSheetLayoutView="100" workbookViewId="0"/>
  </sheetViews>
  <sheetFormatPr defaultRowHeight="14.4" x14ac:dyDescent="0.3"/>
  <cols>
    <col min="1" max="1" width="20.6640625" customWidth="1"/>
    <col min="2" max="2" width="16.109375" customWidth="1"/>
    <col min="3" max="5" width="13.109375" customWidth="1"/>
    <col min="6" max="6" width="16.109375" customWidth="1"/>
    <col min="7" max="7" width="23.33203125" customWidth="1"/>
  </cols>
  <sheetData>
    <row r="1" spans="1:9" x14ac:dyDescent="0.3">
      <c r="A1" s="134" t="s">
        <v>324</v>
      </c>
      <c r="B1" s="146"/>
      <c r="C1" s="146"/>
      <c r="D1" s="146"/>
      <c r="E1" s="146"/>
      <c r="F1" s="146"/>
    </row>
    <row r="2" spans="1:9" ht="15" thickBot="1" x14ac:dyDescent="0.35">
      <c r="A2" s="146" t="s">
        <v>258</v>
      </c>
      <c r="B2" s="146"/>
      <c r="C2" s="146"/>
      <c r="D2" s="146"/>
      <c r="E2" s="146"/>
      <c r="F2" s="146"/>
    </row>
    <row r="3" spans="1:9" ht="15.6" thickTop="1" thickBot="1" x14ac:dyDescent="0.35">
      <c r="A3" s="273" t="s">
        <v>592</v>
      </c>
      <c r="B3" s="276" t="s">
        <v>137</v>
      </c>
      <c r="C3" s="277"/>
      <c r="D3" s="277"/>
      <c r="E3" s="277"/>
      <c r="F3" s="278"/>
    </row>
    <row r="4" spans="1:9" s="173" customFormat="1" ht="33" customHeight="1" thickTop="1" thickBot="1" x14ac:dyDescent="0.35">
      <c r="A4" s="275"/>
      <c r="B4" s="184" t="s">
        <v>69</v>
      </c>
      <c r="C4" s="184" t="s">
        <v>1128</v>
      </c>
      <c r="D4" s="198" t="s">
        <v>748</v>
      </c>
      <c r="E4" s="187" t="s">
        <v>759</v>
      </c>
      <c r="F4" s="184" t="s">
        <v>101</v>
      </c>
    </row>
    <row r="5" spans="1:9" ht="21" customHeight="1" thickTop="1" thickBot="1" x14ac:dyDescent="0.35">
      <c r="A5" s="68" t="s">
        <v>526</v>
      </c>
      <c r="B5" s="26">
        <f>SUMIF(HK!A:A,"459*",HK!D:D)-SUMIF(HK!A:A,"459*",HK!C:C)</f>
        <v>39254</v>
      </c>
      <c r="C5" s="227">
        <f>SUM(C6:C10)</f>
        <v>0</v>
      </c>
      <c r="D5" s="227">
        <f>SUM(D6:D10)</f>
        <v>0</v>
      </c>
      <c r="E5" s="227">
        <f>SUM(E6:E10)</f>
        <v>0</v>
      </c>
      <c r="F5" s="40">
        <f>SUMIF(HK!A:A,"459*",HK!L:L)-SUMIF(HK!A:A,"459*",HK!K:K)</f>
        <v>39254</v>
      </c>
      <c r="G5" s="222"/>
      <c r="H5" s="24"/>
      <c r="I5" s="222"/>
    </row>
    <row r="6" spans="1:9" ht="21" customHeight="1" thickTop="1" thickBot="1" x14ac:dyDescent="0.35">
      <c r="A6" s="185"/>
      <c r="B6" s="244"/>
      <c r="C6" s="140"/>
      <c r="D6" s="125"/>
      <c r="E6" s="125"/>
      <c r="F6" s="53">
        <f>SUM(B6:E6)</f>
        <v>0</v>
      </c>
      <c r="G6" s="222"/>
      <c r="H6" s="222"/>
      <c r="I6" s="222"/>
    </row>
    <row r="7" spans="1:9" ht="21" customHeight="1" thickBot="1" x14ac:dyDescent="0.35">
      <c r="A7" s="185"/>
      <c r="B7" s="244"/>
      <c r="C7" s="140"/>
      <c r="D7" s="199"/>
      <c r="E7" s="199"/>
      <c r="F7" s="53">
        <f>SUM(B7:E7)</f>
        <v>0</v>
      </c>
      <c r="G7" s="222"/>
      <c r="H7" s="222"/>
      <c r="I7" s="222"/>
    </row>
    <row r="8" spans="1:9" ht="21" customHeight="1" thickBot="1" x14ac:dyDescent="0.35">
      <c r="A8" s="185"/>
      <c r="B8" s="244"/>
      <c r="C8" s="140"/>
      <c r="D8" s="199"/>
      <c r="E8" s="199"/>
      <c r="F8" s="53">
        <f>SUM(B8:E8)</f>
        <v>0</v>
      </c>
      <c r="G8" s="222"/>
      <c r="H8" s="222"/>
      <c r="I8" s="222"/>
    </row>
    <row r="9" spans="1:9" ht="21" customHeight="1" thickBot="1" x14ac:dyDescent="0.35">
      <c r="A9" s="185"/>
      <c r="B9" s="244"/>
      <c r="C9" s="140"/>
      <c r="D9" s="199"/>
      <c r="E9" s="199"/>
      <c r="F9" s="53">
        <f>SUM(B9:E9)</f>
        <v>0</v>
      </c>
      <c r="G9" s="222"/>
      <c r="H9" s="222"/>
      <c r="I9" s="222"/>
    </row>
    <row r="10" spans="1:9" ht="21" customHeight="1" thickBot="1" x14ac:dyDescent="0.35">
      <c r="A10" s="229"/>
      <c r="B10" s="87"/>
      <c r="C10" s="215"/>
      <c r="D10" s="25"/>
      <c r="E10" s="25"/>
      <c r="F10" s="177">
        <f>SUM(B10:E10)</f>
        <v>0</v>
      </c>
      <c r="G10" s="222"/>
      <c r="H10" s="222"/>
      <c r="I10" s="222"/>
    </row>
    <row r="11" spans="1:9" ht="21" customHeight="1" thickTop="1" thickBot="1" x14ac:dyDescent="0.35">
      <c r="A11" s="68" t="s">
        <v>191</v>
      </c>
      <c r="B11" s="183">
        <f>SUMIF(HK!A:A,"323*",HK!D:D)-SUMIF(HK!A:A,"323*",HK!C:C)</f>
        <v>49422.09</v>
      </c>
      <c r="C11" s="215">
        <f>SUM(C12:C16)</f>
        <v>0</v>
      </c>
      <c r="D11" s="215">
        <f>SUM(D12:D16)</f>
        <v>0</v>
      </c>
      <c r="E11" s="215">
        <f>SUM(E12:E16)</f>
        <v>0</v>
      </c>
      <c r="F11" s="153">
        <f>SUMIF(HK!A:A,"323*",HK!L:L)-SUMIF(HK!A:A,"323*",HK!K:K)</f>
        <v>0</v>
      </c>
      <c r="G11" s="222"/>
      <c r="H11" s="24"/>
      <c r="I11" s="222"/>
    </row>
    <row r="12" spans="1:9" ht="21" customHeight="1" thickTop="1" thickBot="1" x14ac:dyDescent="0.35">
      <c r="A12" s="185"/>
      <c r="B12" s="244"/>
      <c r="C12" s="140"/>
      <c r="D12" s="125"/>
      <c r="E12" s="125"/>
      <c r="F12" s="53">
        <f t="shared" ref="F12:F17" si="0">SUM(B12:E12)</f>
        <v>0</v>
      </c>
      <c r="G12" s="222"/>
      <c r="H12" s="222"/>
      <c r="I12" s="222"/>
    </row>
    <row r="13" spans="1:9" ht="21" customHeight="1" thickBot="1" x14ac:dyDescent="0.35">
      <c r="A13" s="185"/>
      <c r="B13" s="43"/>
      <c r="C13" s="208"/>
      <c r="D13" s="249"/>
      <c r="E13" s="249"/>
      <c r="F13" s="113">
        <f t="shared" si="0"/>
        <v>0</v>
      </c>
    </row>
    <row r="14" spans="1:9" ht="21" customHeight="1" thickBot="1" x14ac:dyDescent="0.35">
      <c r="A14" s="185"/>
      <c r="B14" s="43"/>
      <c r="C14" s="208"/>
      <c r="D14" s="249"/>
      <c r="E14" s="249"/>
      <c r="F14" s="113">
        <f t="shared" si="0"/>
        <v>0</v>
      </c>
    </row>
    <row r="15" spans="1:9" ht="21" customHeight="1" thickBot="1" x14ac:dyDescent="0.35">
      <c r="A15" s="185"/>
      <c r="B15" s="43"/>
      <c r="C15" s="208"/>
      <c r="D15" s="249"/>
      <c r="E15" s="249"/>
      <c r="F15" s="113">
        <f t="shared" si="0"/>
        <v>0</v>
      </c>
    </row>
    <row r="16" spans="1:9" ht="21" customHeight="1" thickBot="1" x14ac:dyDescent="0.35">
      <c r="A16" s="185"/>
      <c r="B16" s="43"/>
      <c r="C16" s="208"/>
      <c r="D16" s="249"/>
      <c r="E16" s="249"/>
      <c r="F16" s="113">
        <f t="shared" si="0"/>
        <v>0</v>
      </c>
    </row>
    <row r="17" spans="1:9" ht="21" customHeight="1" thickBot="1" x14ac:dyDescent="0.35">
      <c r="A17" s="229"/>
      <c r="B17" s="239"/>
      <c r="C17" s="106"/>
      <c r="D17" s="169"/>
      <c r="E17" s="169"/>
      <c r="F17" s="71">
        <f t="shared" si="0"/>
        <v>0</v>
      </c>
    </row>
    <row r="18" spans="1:9" ht="15" thickTop="1" x14ac:dyDescent="0.3">
      <c r="A18" s="173"/>
      <c r="B18" s="173"/>
      <c r="C18" s="173"/>
      <c r="D18" s="173"/>
      <c r="E18" s="173"/>
      <c r="F18" s="173"/>
    </row>
    <row r="19" spans="1:9" x14ac:dyDescent="0.3">
      <c r="A19" s="251"/>
    </row>
    <row r="20" spans="1:9" ht="15" thickBot="1" x14ac:dyDescent="0.35">
      <c r="A20" s="146" t="s">
        <v>8</v>
      </c>
      <c r="B20" s="146"/>
      <c r="C20" s="146"/>
      <c r="D20" s="146"/>
      <c r="E20" s="146"/>
      <c r="F20" s="146"/>
    </row>
    <row r="21" spans="1:9" ht="15.6" thickTop="1" thickBot="1" x14ac:dyDescent="0.35">
      <c r="A21" s="273" t="s">
        <v>592</v>
      </c>
      <c r="B21" s="276" t="s">
        <v>860</v>
      </c>
      <c r="C21" s="277"/>
      <c r="D21" s="277"/>
      <c r="E21" s="277"/>
      <c r="F21" s="278"/>
    </row>
    <row r="22" spans="1:9" s="173" customFormat="1" ht="21.6" thickTop="1" thickBot="1" x14ac:dyDescent="0.35">
      <c r="A22" s="275"/>
      <c r="B22" s="184" t="s">
        <v>69</v>
      </c>
      <c r="C22" s="184" t="s">
        <v>1128</v>
      </c>
      <c r="D22" s="198" t="s">
        <v>748</v>
      </c>
      <c r="E22" s="187" t="s">
        <v>759</v>
      </c>
      <c r="F22" s="184" t="s">
        <v>101</v>
      </c>
    </row>
    <row r="23" spans="1:9" ht="21" customHeight="1" thickTop="1" thickBot="1" x14ac:dyDescent="0.35">
      <c r="A23" s="229" t="s">
        <v>526</v>
      </c>
      <c r="B23" s="26">
        <f>SUMIF(HKM!A:A,"459*",HKM!D:D)-SUMIF(HKM!A:A,"459*",HKM!C:C)</f>
        <v>21146</v>
      </c>
      <c r="C23" s="227">
        <f>SUM(C24:C28)</f>
        <v>0</v>
      </c>
      <c r="D23" s="227">
        <f>SUM(D24:D28)</f>
        <v>0</v>
      </c>
      <c r="E23" s="227">
        <f>SUM(E24:E28)</f>
        <v>0</v>
      </c>
      <c r="F23" s="40">
        <f>SUMIF(HKM!A:A,"459*",HKM!L:L)-SUMIF(HKM!A:A,"459*",HKM!K:K)</f>
        <v>39254</v>
      </c>
      <c r="G23" s="222"/>
      <c r="H23" s="24"/>
      <c r="I23" s="222"/>
    </row>
    <row r="24" spans="1:9" ht="21" customHeight="1" thickTop="1" thickBot="1" x14ac:dyDescent="0.35">
      <c r="A24" s="185"/>
      <c r="B24" s="244"/>
      <c r="C24" s="140"/>
      <c r="D24" s="125"/>
      <c r="E24" s="125"/>
      <c r="F24" s="53">
        <f>SUM(B24:E24)</f>
        <v>0</v>
      </c>
      <c r="G24" s="222"/>
      <c r="H24" s="222"/>
      <c r="I24" s="222"/>
    </row>
    <row r="25" spans="1:9" ht="21" customHeight="1" thickBot="1" x14ac:dyDescent="0.35">
      <c r="A25" s="185"/>
      <c r="B25" s="244"/>
      <c r="C25" s="140"/>
      <c r="D25" s="199"/>
      <c r="E25" s="199"/>
      <c r="F25" s="53">
        <f>SUM(B25:E25)</f>
        <v>0</v>
      </c>
      <c r="G25" s="222"/>
      <c r="H25" s="222"/>
      <c r="I25" s="222"/>
    </row>
    <row r="26" spans="1:9" ht="21" customHeight="1" thickBot="1" x14ac:dyDescent="0.35">
      <c r="A26" s="185"/>
      <c r="B26" s="244"/>
      <c r="C26" s="140"/>
      <c r="D26" s="199"/>
      <c r="E26" s="199"/>
      <c r="F26" s="53">
        <f>SUM(B26:E26)</f>
        <v>0</v>
      </c>
      <c r="G26" s="222"/>
      <c r="H26" s="222"/>
      <c r="I26" s="222"/>
    </row>
    <row r="27" spans="1:9" ht="21" customHeight="1" thickBot="1" x14ac:dyDescent="0.35">
      <c r="A27" s="185"/>
      <c r="B27" s="244"/>
      <c r="C27" s="140"/>
      <c r="D27" s="199"/>
      <c r="E27" s="199"/>
      <c r="F27" s="53">
        <f>SUM(B27:E27)</f>
        <v>0</v>
      </c>
      <c r="G27" s="222"/>
      <c r="H27" s="222"/>
      <c r="I27" s="222"/>
    </row>
    <row r="28" spans="1:9" ht="21" customHeight="1" thickBot="1" x14ac:dyDescent="0.35">
      <c r="A28" s="229"/>
      <c r="B28" s="87"/>
      <c r="C28" s="215"/>
      <c r="D28" s="25"/>
      <c r="E28" s="25"/>
      <c r="F28" s="177">
        <f>SUM(B28:E28)</f>
        <v>0</v>
      </c>
      <c r="G28" s="222"/>
      <c r="H28" s="222"/>
      <c r="I28" s="222"/>
    </row>
    <row r="29" spans="1:9" ht="21" customHeight="1" thickTop="1" thickBot="1" x14ac:dyDescent="0.35">
      <c r="A29" s="229" t="s">
        <v>191</v>
      </c>
      <c r="B29" s="183">
        <f>SUMIF(HKM!A:A,"323*",HKM!D:D)-SUMIF(HKM!A:A,"323*",HKM!C:C)</f>
        <v>33238.410000000003</v>
      </c>
      <c r="C29" s="215">
        <f>SUM(C30:C34)</f>
        <v>0</v>
      </c>
      <c r="D29" s="215">
        <f>SUM(D30:D34)</f>
        <v>0</v>
      </c>
      <c r="E29" s="215">
        <f>SUM(E30:E34)</f>
        <v>0</v>
      </c>
      <c r="F29" s="153">
        <f>SUMIF(HKM!A:A,"323*",HKM!L:L)-SUMIF(HKM!A:A,"323*",HKM!K:K)</f>
        <v>49422.09</v>
      </c>
      <c r="G29" s="222"/>
      <c r="H29" s="24"/>
      <c r="I29" s="222"/>
    </row>
    <row r="30" spans="1:9" ht="21" customHeight="1" thickTop="1" thickBot="1" x14ac:dyDescent="0.35">
      <c r="A30" s="185"/>
      <c r="B30" s="244"/>
      <c r="C30" s="140"/>
      <c r="D30" s="125"/>
      <c r="E30" s="125"/>
      <c r="F30" s="53">
        <f t="shared" ref="F30:F35" si="1">SUM(B30:E30)</f>
        <v>0</v>
      </c>
      <c r="G30" s="222"/>
      <c r="H30" s="222"/>
      <c r="I30" s="222"/>
    </row>
    <row r="31" spans="1:9" ht="21" customHeight="1" thickBot="1" x14ac:dyDescent="0.35">
      <c r="A31" s="185"/>
      <c r="B31" s="43"/>
      <c r="C31" s="208"/>
      <c r="D31" s="249"/>
      <c r="E31" s="249"/>
      <c r="F31" s="113">
        <f t="shared" si="1"/>
        <v>0</v>
      </c>
    </row>
    <row r="32" spans="1:9" ht="21" customHeight="1" thickBot="1" x14ac:dyDescent="0.35">
      <c r="A32" s="185"/>
      <c r="B32" s="43"/>
      <c r="C32" s="208"/>
      <c r="D32" s="249"/>
      <c r="E32" s="249"/>
      <c r="F32" s="113">
        <f t="shared" si="1"/>
        <v>0</v>
      </c>
    </row>
    <row r="33" spans="1:6" ht="21" customHeight="1" thickBot="1" x14ac:dyDescent="0.35">
      <c r="A33" s="185"/>
      <c r="B33" s="43"/>
      <c r="C33" s="208"/>
      <c r="D33" s="249"/>
      <c r="E33" s="249"/>
      <c r="F33" s="113">
        <f t="shared" si="1"/>
        <v>0</v>
      </c>
    </row>
    <row r="34" spans="1:6" ht="21" customHeight="1" thickBot="1" x14ac:dyDescent="0.35">
      <c r="A34" s="185"/>
      <c r="B34" s="43"/>
      <c r="C34" s="208"/>
      <c r="D34" s="249"/>
      <c r="E34" s="249"/>
      <c r="F34" s="113">
        <f t="shared" si="1"/>
        <v>0</v>
      </c>
    </row>
    <row r="35" spans="1:6" ht="21" customHeight="1" thickBot="1" x14ac:dyDescent="0.35">
      <c r="A35" s="229"/>
      <c r="B35" s="239"/>
      <c r="C35" s="106"/>
      <c r="D35" s="169"/>
      <c r="E35" s="169"/>
      <c r="F35" s="71">
        <f t="shared" si="1"/>
        <v>0</v>
      </c>
    </row>
    <row r="36" spans="1:6" ht="15" thickTop="1" x14ac:dyDescent="0.3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6"/>
  <sheetViews>
    <sheetView showGridLines="0" zoomScaleNormal="100" zoomScaleSheetLayoutView="100" workbookViewId="0">
      <selection activeCell="B28" sqref="B28"/>
    </sheetView>
  </sheetViews>
  <sheetFormatPr defaultRowHeight="14.4" x14ac:dyDescent="0.3"/>
  <cols>
    <col min="1" max="1" width="32" customWidth="1"/>
    <col min="2" max="3" width="27.33203125" customWidth="1"/>
    <col min="4" max="4" width="14.109375" customWidth="1"/>
    <col min="5" max="5" width="14.44140625" customWidth="1"/>
    <col min="6" max="7" width="23.33203125" customWidth="1"/>
  </cols>
  <sheetData>
    <row r="1" spans="1:3" ht="15" thickBot="1" x14ac:dyDescent="0.35">
      <c r="A1" s="44" t="s">
        <v>144</v>
      </c>
    </row>
    <row r="2" spans="1:3" ht="26.25" customHeight="1" thickTop="1" thickBot="1" x14ac:dyDescent="0.35">
      <c r="A2" s="109" t="s">
        <v>592</v>
      </c>
      <c r="B2" s="47" t="s">
        <v>137</v>
      </c>
      <c r="C2" s="47" t="s">
        <v>860</v>
      </c>
    </row>
    <row r="3" spans="1:3" ht="26.25" customHeight="1" thickTop="1" thickBot="1" x14ac:dyDescent="0.35">
      <c r="A3" s="129" t="s">
        <v>929</v>
      </c>
      <c r="B3" s="131"/>
      <c r="C3" s="130"/>
    </row>
    <row r="4" spans="1:3" ht="26.25" customHeight="1" thickTop="1" thickBot="1" x14ac:dyDescent="0.35">
      <c r="A4" s="174" t="s">
        <v>423</v>
      </c>
      <c r="B4" s="19"/>
      <c r="C4" s="231"/>
    </row>
    <row r="5" spans="1:3" ht="31.5" customHeight="1" thickBot="1" x14ac:dyDescent="0.35">
      <c r="A5" s="174" t="s">
        <v>1211</v>
      </c>
      <c r="B5" s="131"/>
      <c r="C5" s="130"/>
    </row>
    <row r="6" spans="1:3" ht="20.25" customHeight="1" thickBot="1" x14ac:dyDescent="0.35">
      <c r="A6" s="18" t="s">
        <v>369</v>
      </c>
      <c r="B6" s="131"/>
      <c r="C6" s="130"/>
    </row>
    <row r="7" spans="1:3" ht="26.25" customHeight="1" thickBot="1" x14ac:dyDescent="0.35">
      <c r="A7" s="174" t="s">
        <v>301</v>
      </c>
      <c r="B7" s="43"/>
      <c r="C7" s="35"/>
    </row>
    <row r="8" spans="1:3" ht="27.75" customHeight="1" thickBot="1" x14ac:dyDescent="0.35">
      <c r="A8" s="174" t="s">
        <v>285</v>
      </c>
      <c r="B8" s="43"/>
      <c r="C8" s="35"/>
    </row>
    <row r="9" spans="1:3" ht="20.25" customHeight="1" x14ac:dyDescent="0.3"/>
    <row r="11" spans="1:3" x14ac:dyDescent="0.3">
      <c r="A11" t="s">
        <v>1377</v>
      </c>
    </row>
    <row r="13" spans="1:3" x14ac:dyDescent="0.3">
      <c r="A13" t="s">
        <v>1378</v>
      </c>
    </row>
    <row r="14" spans="1:3" x14ac:dyDescent="0.3">
      <c r="A14" t="s">
        <v>1379</v>
      </c>
    </row>
    <row r="15" spans="1:3" x14ac:dyDescent="0.3">
      <c r="A15" t="s">
        <v>1380</v>
      </c>
    </row>
    <row r="16" spans="1:3" x14ac:dyDescent="0.3">
      <c r="A16" t="s">
        <v>1381</v>
      </c>
    </row>
    <row r="17" spans="1:1" x14ac:dyDescent="0.3">
      <c r="A17" t="s">
        <v>1382</v>
      </c>
    </row>
    <row r="18" spans="1:1" x14ac:dyDescent="0.3">
      <c r="A18" t="s">
        <v>1383</v>
      </c>
    </row>
    <row r="20" spans="1:1" x14ac:dyDescent="0.3">
      <c r="A20" t="s">
        <v>1384</v>
      </c>
    </row>
    <row r="21" spans="1:1" x14ac:dyDescent="0.3">
      <c r="A21" t="s">
        <v>1385</v>
      </c>
    </row>
    <row r="23" spans="1:1" x14ac:dyDescent="0.3">
      <c r="A23" t="s">
        <v>1386</v>
      </c>
    </row>
    <row r="24" spans="1:1" x14ac:dyDescent="0.3">
      <c r="A24" t="s">
        <v>1387</v>
      </c>
    </row>
    <row r="26" spans="1:1" x14ac:dyDescent="0.3">
      <c r="A26" t="s">
        <v>1388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0"/>
  <sheetViews>
    <sheetView showGridLines="0" zoomScaleNormal="100" zoomScaleSheetLayoutView="100" workbookViewId="0">
      <selection sqref="A1:C1"/>
    </sheetView>
  </sheetViews>
  <sheetFormatPr defaultRowHeight="14.4" x14ac:dyDescent="0.3"/>
  <cols>
    <col min="1" max="1" width="27.6640625" customWidth="1"/>
    <col min="2" max="3" width="29.33203125" customWidth="1"/>
    <col min="4" max="4" width="14.109375" customWidth="1"/>
    <col min="5" max="5" width="14.44140625" customWidth="1"/>
    <col min="6" max="7" width="23.33203125" customWidth="1"/>
  </cols>
  <sheetData>
    <row r="1" spans="1:5" s="173" customFormat="1" ht="40.5" customHeight="1" thickBot="1" x14ac:dyDescent="0.35">
      <c r="A1" s="270" t="s">
        <v>1195</v>
      </c>
      <c r="B1" s="270"/>
      <c r="C1" s="270"/>
    </row>
    <row r="2" spans="1:5" ht="21.6" thickTop="1" thickBot="1" x14ac:dyDescent="0.35">
      <c r="A2" s="109" t="s">
        <v>592</v>
      </c>
      <c r="B2" s="47" t="s">
        <v>137</v>
      </c>
      <c r="C2" s="47" t="s">
        <v>860</v>
      </c>
    </row>
    <row r="3" spans="1:5" ht="31.8" thickTop="1" thickBot="1" x14ac:dyDescent="0.35">
      <c r="A3" s="18" t="s">
        <v>125</v>
      </c>
      <c r="B3" s="208"/>
      <c r="C3" s="35"/>
    </row>
    <row r="4" spans="1:5" ht="23.25" customHeight="1" thickBot="1" x14ac:dyDescent="0.35">
      <c r="A4" s="174" t="s">
        <v>817</v>
      </c>
      <c r="B4" s="208"/>
      <c r="C4" s="35"/>
    </row>
    <row r="5" spans="1:5" ht="23.25" customHeight="1" thickBot="1" x14ac:dyDescent="0.35">
      <c r="A5" s="174" t="s">
        <v>46</v>
      </c>
      <c r="B5" s="208"/>
      <c r="C5" s="35"/>
    </row>
    <row r="6" spans="1:5" ht="31.2" thickBot="1" x14ac:dyDescent="0.35">
      <c r="A6" s="18" t="s">
        <v>425</v>
      </c>
      <c r="B6" s="208"/>
      <c r="C6" s="35"/>
    </row>
    <row r="7" spans="1:5" ht="23.25" customHeight="1" thickBot="1" x14ac:dyDescent="0.35">
      <c r="A7" s="174" t="s">
        <v>817</v>
      </c>
      <c r="B7" s="208"/>
      <c r="C7" s="35"/>
    </row>
    <row r="8" spans="1:5" ht="23.25" customHeight="1" thickBot="1" x14ac:dyDescent="0.35">
      <c r="A8" s="174" t="s">
        <v>46</v>
      </c>
      <c r="B8" s="208"/>
      <c r="C8" s="35"/>
    </row>
    <row r="9" spans="1:5" ht="23.25" customHeight="1" thickBot="1" x14ac:dyDescent="0.35">
      <c r="A9" s="18" t="s">
        <v>619</v>
      </c>
      <c r="B9" s="208"/>
      <c r="C9" s="35"/>
    </row>
    <row r="10" spans="1:5" ht="23.25" customHeight="1" thickBot="1" x14ac:dyDescent="0.35">
      <c r="A10" s="18" t="s">
        <v>677</v>
      </c>
      <c r="B10" s="208"/>
      <c r="C10" s="35"/>
    </row>
    <row r="11" spans="1:5" ht="23.25" customHeight="1" thickBot="1" x14ac:dyDescent="0.35">
      <c r="A11" s="18" t="s">
        <v>1019</v>
      </c>
      <c r="B11" s="154">
        <v>0.22</v>
      </c>
      <c r="C11" s="3">
        <v>0.23</v>
      </c>
    </row>
    <row r="12" spans="1:5" ht="23.25" customHeight="1" thickBot="1" x14ac:dyDescent="0.35">
      <c r="A12" s="18" t="s">
        <v>687</v>
      </c>
      <c r="B12" s="242">
        <f>SUMIF(SUA!C:C,"052",SUA!F:F)</f>
        <v>7459</v>
      </c>
      <c r="C12" s="75">
        <f>SUMIF(SUA!C:C,"052",SUA!G:G)</f>
        <v>7459</v>
      </c>
      <c r="D12" s="222"/>
      <c r="E12" s="95"/>
    </row>
    <row r="13" spans="1:5" ht="23.25" customHeight="1" thickBot="1" x14ac:dyDescent="0.35">
      <c r="A13" s="18" t="s">
        <v>1062</v>
      </c>
      <c r="B13" s="140"/>
      <c r="C13" s="237"/>
      <c r="D13" s="222"/>
      <c r="E13" s="222"/>
    </row>
    <row r="14" spans="1:5" ht="23.25" customHeight="1" thickBot="1" x14ac:dyDescent="0.35">
      <c r="A14" s="174" t="s">
        <v>756</v>
      </c>
      <c r="B14" s="140"/>
      <c r="C14" s="237"/>
      <c r="D14" s="222"/>
      <c r="E14" s="222"/>
    </row>
    <row r="15" spans="1:5" ht="23.25" customHeight="1" thickBot="1" x14ac:dyDescent="0.35">
      <c r="A15" s="174" t="s">
        <v>412</v>
      </c>
      <c r="B15" s="140"/>
      <c r="C15" s="237"/>
      <c r="D15" s="222"/>
      <c r="E15" s="222"/>
    </row>
    <row r="16" spans="1:5" ht="23.25" customHeight="1" thickBot="1" x14ac:dyDescent="0.35">
      <c r="A16" s="143" t="s">
        <v>717</v>
      </c>
      <c r="B16" s="242">
        <f>SUMIF(SUA!C:C,"117",SUA!F:F)</f>
        <v>0</v>
      </c>
      <c r="C16" s="75">
        <f>SUMIF(SUA!C:C,"117",SUA!G:G)</f>
        <v>0</v>
      </c>
      <c r="D16" s="222"/>
      <c r="E16" s="95"/>
    </row>
    <row r="17" spans="1:3" ht="23.25" customHeight="1" thickBot="1" x14ac:dyDescent="0.35">
      <c r="A17" s="81" t="s">
        <v>138</v>
      </c>
      <c r="B17" s="208"/>
      <c r="C17" s="35"/>
    </row>
    <row r="18" spans="1:3" ht="23.25" customHeight="1" thickBot="1" x14ac:dyDescent="0.35">
      <c r="A18" s="174" t="s">
        <v>773</v>
      </c>
      <c r="B18" s="208"/>
      <c r="C18" s="35"/>
    </row>
    <row r="19" spans="1:3" ht="23.25" customHeight="1" thickBot="1" x14ac:dyDescent="0.35">
      <c r="A19" s="59" t="s">
        <v>412</v>
      </c>
      <c r="B19" s="45"/>
      <c r="C19" s="132"/>
    </row>
    <row r="20" spans="1:3" ht="18.75" customHeight="1" thickBot="1" x14ac:dyDescent="0.35">
      <c r="A20" s="4" t="s">
        <v>797</v>
      </c>
      <c r="B20" s="83"/>
      <c r="C20" s="83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83"/>
  <sheetViews>
    <sheetView showGridLines="0" zoomScaleNormal="100" zoomScaleSheetLayoutView="100" workbookViewId="0">
      <selection activeCell="C54" sqref="C54"/>
    </sheetView>
  </sheetViews>
  <sheetFormatPr defaultRowHeight="14.4" x14ac:dyDescent="0.3"/>
  <cols>
    <col min="1" max="1" width="29.44140625" customWidth="1"/>
    <col min="2" max="9" width="12.5546875" customWidth="1"/>
  </cols>
  <sheetData>
    <row r="1" spans="1:12" x14ac:dyDescent="0.3">
      <c r="A1" s="44" t="s">
        <v>103</v>
      </c>
    </row>
    <row r="2" spans="1:12" ht="15" thickBot="1" x14ac:dyDescent="0.35">
      <c r="A2" s="251" t="s">
        <v>258</v>
      </c>
    </row>
    <row r="3" spans="1:12" ht="15" customHeight="1" thickTop="1" thickBot="1" x14ac:dyDescent="0.35">
      <c r="A3" s="252" t="s">
        <v>114</v>
      </c>
      <c r="B3" s="257" t="s">
        <v>137</v>
      </c>
      <c r="C3" s="258"/>
      <c r="D3" s="258"/>
      <c r="E3" s="258"/>
      <c r="F3" s="258"/>
      <c r="G3" s="258"/>
      <c r="H3" s="258"/>
      <c r="I3" s="259"/>
    </row>
    <row r="4" spans="1:12" ht="35.25" customHeight="1" thickTop="1" thickBot="1" x14ac:dyDescent="0.35">
      <c r="A4" s="253"/>
      <c r="B4" s="160" t="s">
        <v>241</v>
      </c>
      <c r="C4" s="32" t="s">
        <v>732</v>
      </c>
      <c r="D4" s="32" t="s">
        <v>951</v>
      </c>
      <c r="E4" s="196" t="s">
        <v>981</v>
      </c>
      <c r="F4" s="160" t="s">
        <v>240</v>
      </c>
      <c r="G4" s="32" t="s">
        <v>602</v>
      </c>
      <c r="H4" s="32" t="s">
        <v>437</v>
      </c>
      <c r="I4" s="32" t="s">
        <v>1027</v>
      </c>
    </row>
    <row r="5" spans="1:12" ht="15" customHeight="1" thickTop="1" thickBot="1" x14ac:dyDescent="0.35">
      <c r="A5" s="15" t="s">
        <v>1288</v>
      </c>
      <c r="B5" s="163"/>
      <c r="C5" s="163"/>
      <c r="D5" s="163"/>
      <c r="E5" s="163"/>
      <c r="F5" s="163"/>
      <c r="G5" s="163"/>
      <c r="H5" s="163"/>
      <c r="I5" s="179"/>
    </row>
    <row r="6" spans="1:12" ht="15.6" thickTop="1" thickBot="1" x14ac:dyDescent="0.35">
      <c r="A6" s="18" t="s">
        <v>1107</v>
      </c>
      <c r="B6" s="139">
        <f>SUMIF(HK!A:A,"012*",HK!C:C)-SUMIF(HK!A:A,"012*",HK!D:D)</f>
        <v>0</v>
      </c>
      <c r="C6" s="139">
        <f>SUMIF(HK!A:A,"013*",HK!C:C)-SUMIF(HK!A:A,"013*",HK!D:D)</f>
        <v>45419.8</v>
      </c>
      <c r="D6" s="139">
        <f>SUMIF(HK!A:A,"014*",HK!C:C)-SUMIF(HK!A:A,"014*",HK!D:D)</f>
        <v>0</v>
      </c>
      <c r="E6" s="139">
        <f>SUMIF(HK!A:A,"015*",HK!C:C)-SUMIF(HK!A:A,"015*",HK!D:D)</f>
        <v>0</v>
      </c>
      <c r="F6" s="139">
        <f>SUMIF(HK!A:A,"019*",HK!C:C)-SUMIF(HK!A:A,"019*",HK!D:D)</f>
        <v>0</v>
      </c>
      <c r="G6" s="139">
        <f>SUMIF(HK!A:A,"041*",HK!C:C)-SUMIF(HK!A:A,"041*",HK!D:D)</f>
        <v>0</v>
      </c>
      <c r="H6" s="139">
        <f>SUMIF(HK!A:A,"051*",HK!C:C)-SUMIF(HK!A:A,"051*",HK!D:D)</f>
        <v>0</v>
      </c>
      <c r="I6" s="73">
        <f>SUM(B6:H6)</f>
        <v>45419.8</v>
      </c>
      <c r="J6" s="78"/>
      <c r="K6" s="38"/>
      <c r="L6" s="78"/>
    </row>
    <row r="7" spans="1:12" ht="25.5" customHeight="1" thickBot="1" x14ac:dyDescent="0.35">
      <c r="A7" s="174" t="s">
        <v>1261</v>
      </c>
      <c r="B7" s="241"/>
      <c r="C7" s="139"/>
      <c r="D7" s="139"/>
      <c r="E7" s="139"/>
      <c r="F7" s="139"/>
      <c r="G7" s="139"/>
      <c r="H7" s="139"/>
      <c r="I7" s="73">
        <f>SUM(B7:H7)</f>
        <v>0</v>
      </c>
      <c r="J7" s="78"/>
      <c r="K7" s="78"/>
      <c r="L7" s="78"/>
    </row>
    <row r="8" spans="1:12" ht="15" customHeight="1" thickBot="1" x14ac:dyDescent="0.35">
      <c r="A8" s="174" t="s">
        <v>18</v>
      </c>
      <c r="B8" s="241"/>
      <c r="C8" s="241"/>
      <c r="D8" s="241"/>
      <c r="E8" s="241"/>
      <c r="F8" s="29"/>
      <c r="G8" s="241"/>
      <c r="H8" s="241"/>
      <c r="I8" s="73">
        <f>SUM(B8:H8)</f>
        <v>0</v>
      </c>
      <c r="J8" s="78"/>
      <c r="K8" s="78"/>
      <c r="L8" s="78"/>
    </row>
    <row r="9" spans="1:12" ht="23.25" customHeight="1" thickBot="1" x14ac:dyDescent="0.35">
      <c r="A9" s="174" t="s">
        <v>523</v>
      </c>
      <c r="B9" s="241"/>
      <c r="C9" s="139"/>
      <c r="D9" s="139"/>
      <c r="E9" s="139"/>
      <c r="F9" s="139"/>
      <c r="G9" s="139"/>
      <c r="H9" s="139"/>
      <c r="I9" s="73">
        <f>SUM(B9:H9)</f>
        <v>0</v>
      </c>
      <c r="J9" s="78"/>
      <c r="K9" s="78"/>
      <c r="L9" s="78"/>
    </row>
    <row r="10" spans="1:12" ht="15" thickBot="1" x14ac:dyDescent="0.35">
      <c r="A10" s="129" t="s">
        <v>101</v>
      </c>
      <c r="B10" s="139">
        <f>SUMIF(HK!A:A,"012*",HK!K:K)-SUMIF(HK!A:A,"012*",HK!L:L)</f>
        <v>0</v>
      </c>
      <c r="C10" s="139">
        <f>SUMIF(HK!A:A,"013*",HK!K:K)-SUMIF(HK!A:A,"013*",HK!L:L)</f>
        <v>45419.8</v>
      </c>
      <c r="D10" s="139">
        <f>SUMIF(HK!A:A,"014*",HK!K:K)-SUMIF(HK!A:A,"014*",HK!L:L)</f>
        <v>0</v>
      </c>
      <c r="E10" s="139">
        <f>SUMIF(HK!A:A,"015*",HK!K:K)-SUMIF(HK!A:A,"015*",HK!L:L)</f>
        <v>0</v>
      </c>
      <c r="F10" s="139">
        <f>SUMIF(HK!A:A,"019*",HK!K:K)-SUMIF(HK!A:A,"019*",HK!L:L)</f>
        <v>0</v>
      </c>
      <c r="G10" s="139">
        <f>SUMIF(HK!A:A,"041*",HK!K:K)-SUMIF(HK!A:A,"041*",HK!L:L)</f>
        <v>0</v>
      </c>
      <c r="H10" s="139">
        <f>SUMIF(HK!A:A,"051*",HK!K:K)-SUMIF(HK!A:A,"051*",HK!L:L)</f>
        <v>0</v>
      </c>
      <c r="I10" s="152">
        <f>I6+I7-I8+I9</f>
        <v>45419.8</v>
      </c>
      <c r="J10" s="78"/>
      <c r="K10" s="38"/>
      <c r="L10" s="78"/>
    </row>
    <row r="11" spans="1:12" ht="15" customHeight="1" thickTop="1" thickBot="1" x14ac:dyDescent="0.35">
      <c r="A11" s="15" t="s">
        <v>306</v>
      </c>
      <c r="B11" s="145"/>
      <c r="C11" s="145"/>
      <c r="D11" s="191"/>
      <c r="E11" s="145"/>
      <c r="F11" s="145"/>
      <c r="G11" s="145"/>
      <c r="H11" s="145"/>
      <c r="I11" s="118"/>
      <c r="J11" s="78"/>
      <c r="K11" s="78"/>
      <c r="L11" s="78"/>
    </row>
    <row r="12" spans="1:12" ht="15.6" thickTop="1" thickBot="1" x14ac:dyDescent="0.35">
      <c r="A12" s="18" t="s">
        <v>69</v>
      </c>
      <c r="B12" s="139">
        <f>SUMIF(HK!A:A,"071*",HK!D:D)-SUMIF(HK!A:A,"071*",HK!C:C)</f>
        <v>0</v>
      </c>
      <c r="C12" s="139">
        <f>SUMIF(HK!A:A,"073*",HK!D:D)-SUMIF(HK!A:A,"073*",HK!C:C)</f>
        <v>23366.73</v>
      </c>
      <c r="D12" s="99">
        <f>SUMIF(HK!A:A,"074*",HK!D:D)-SUMIF(HK!A:A,"074*",HK!C:C)</f>
        <v>0</v>
      </c>
      <c r="E12" s="139">
        <f>SUMIF(HK!A:A,"075*",HK!D:D)-SUMIF(HK!A:A,"075*",HK!C:C)</f>
        <v>0</v>
      </c>
      <c r="F12" s="139">
        <f>SUMIF(HK!A:A,"079*",HK!D:D)-SUMIF(HK!A:A,"079*",HK!C:C)</f>
        <v>0</v>
      </c>
      <c r="G12" s="155"/>
      <c r="H12" s="155"/>
      <c r="I12" s="73">
        <f>SUM(B12:H12)</f>
        <v>23366.73</v>
      </c>
      <c r="J12" s="78"/>
      <c r="K12" s="38"/>
      <c r="L12" s="78"/>
    </row>
    <row r="13" spans="1:12" ht="22.5" customHeight="1" thickBot="1" x14ac:dyDescent="0.35">
      <c r="A13" s="174" t="s">
        <v>1261</v>
      </c>
      <c r="B13" s="241"/>
      <c r="C13" s="139"/>
      <c r="D13" s="139"/>
      <c r="E13" s="139"/>
      <c r="F13" s="139"/>
      <c r="G13" s="241"/>
      <c r="H13" s="241"/>
      <c r="I13" s="73">
        <f>SUM(B13:H13)</f>
        <v>0</v>
      </c>
      <c r="J13" s="78"/>
      <c r="K13" s="78"/>
      <c r="L13" s="78"/>
    </row>
    <row r="14" spans="1:12" ht="21.75" customHeight="1" thickBot="1" x14ac:dyDescent="0.35">
      <c r="A14" s="174" t="s">
        <v>18</v>
      </c>
      <c r="B14" s="139"/>
      <c r="C14" s="139"/>
      <c r="D14" s="139"/>
      <c r="E14" s="139"/>
      <c r="F14" s="139"/>
      <c r="G14" s="241"/>
      <c r="H14" s="241"/>
      <c r="I14" s="73">
        <f>SUM(B14:H14)</f>
        <v>0</v>
      </c>
      <c r="J14" s="78"/>
      <c r="K14" s="78"/>
      <c r="L14" s="78"/>
    </row>
    <row r="15" spans="1:12" ht="21.75" customHeight="1" thickBot="1" x14ac:dyDescent="0.35">
      <c r="A15" s="243" t="s">
        <v>523</v>
      </c>
      <c r="B15" s="139"/>
      <c r="C15" s="139"/>
      <c r="D15" s="139"/>
      <c r="E15" s="139"/>
      <c r="F15" s="139"/>
      <c r="G15" s="172"/>
      <c r="H15" s="29"/>
      <c r="I15" s="137"/>
      <c r="J15" s="78"/>
      <c r="K15" s="78"/>
      <c r="L15" s="78"/>
    </row>
    <row r="16" spans="1:12" ht="15" thickBot="1" x14ac:dyDescent="0.35">
      <c r="A16" s="129" t="s">
        <v>101</v>
      </c>
      <c r="B16" s="139">
        <f>SUMIF(HK!A:A,"071*",HK!L:L)-SUMIF(HK!A:A,"071*",HK!K:K)</f>
        <v>0</v>
      </c>
      <c r="C16" s="139">
        <f>SUMIF(HK!A:A,"073*",HK!L:L)-SUMIF(HK!A:A,"073*",HK!K:K)</f>
        <v>28244.73</v>
      </c>
      <c r="D16" s="139">
        <f>SUMIF(HK!A:A,"074*",HK!L:L)-SUMIF(HK!A:A,"074*",HK!K:K)</f>
        <v>0</v>
      </c>
      <c r="E16" s="139">
        <f>SUMIF(HK!A:A,"075*",HK!L:L)-SUMIF(HK!A:A,"075*",HK!K:K)</f>
        <v>0</v>
      </c>
      <c r="F16" s="139">
        <f>SUMIF(HK!A:A,"079*",HK!L:L)-SUMIF(HK!A:A,"079*",HK!K:K)</f>
        <v>0</v>
      </c>
      <c r="G16" s="49"/>
      <c r="H16" s="49"/>
      <c r="I16" s="152">
        <f>I12+I13-I14</f>
        <v>23366.73</v>
      </c>
      <c r="J16" s="78"/>
      <c r="K16" s="38"/>
      <c r="L16" s="78"/>
    </row>
    <row r="17" spans="1:13" ht="15" customHeight="1" thickTop="1" thickBot="1" x14ac:dyDescent="0.35">
      <c r="A17" s="15" t="s">
        <v>1273</v>
      </c>
      <c r="B17" s="145"/>
      <c r="C17" s="145"/>
      <c r="D17" s="145"/>
      <c r="E17" s="145"/>
      <c r="F17" s="145"/>
      <c r="G17" s="145"/>
      <c r="H17" s="145"/>
      <c r="I17" s="118"/>
      <c r="J17" s="78"/>
      <c r="K17" s="78"/>
      <c r="L17" s="78"/>
    </row>
    <row r="18" spans="1:13" ht="15.6" thickTop="1" thickBot="1" x14ac:dyDescent="0.35">
      <c r="A18" s="18" t="s">
        <v>69</v>
      </c>
      <c r="B18" s="139"/>
      <c r="C18" s="139"/>
      <c r="D18" s="139"/>
      <c r="E18" s="139"/>
      <c r="F18" s="139"/>
      <c r="G18" s="139">
        <f>SUMIF(HK!A:A,"093*",HK!D:D)-SUMIF(HK!A:A,"093*",HK!C:C)</f>
        <v>0</v>
      </c>
      <c r="H18" s="139">
        <f>SUMIF(SUAM!C:C,"010",SUAM!E:E)</f>
        <v>0</v>
      </c>
      <c r="I18" s="73">
        <f>SUM(B18:H18)</f>
        <v>0</v>
      </c>
      <c r="J18" s="78"/>
      <c r="K18" s="38"/>
      <c r="L18" s="207"/>
      <c r="M18" s="232"/>
    </row>
    <row r="19" spans="1:13" ht="15" customHeight="1" thickBot="1" x14ac:dyDescent="0.35">
      <c r="A19" s="174" t="s">
        <v>1261</v>
      </c>
      <c r="B19" s="241"/>
      <c r="C19" s="241"/>
      <c r="D19" s="241"/>
      <c r="E19" s="241"/>
      <c r="F19" s="241"/>
      <c r="G19" s="241"/>
      <c r="H19" s="241"/>
      <c r="I19" s="73">
        <f>SUM(B19:H19)</f>
        <v>0</v>
      </c>
      <c r="J19" s="78"/>
      <c r="K19" s="124"/>
      <c r="L19" s="78"/>
    </row>
    <row r="20" spans="1:13" ht="15" customHeight="1" thickBot="1" x14ac:dyDescent="0.35">
      <c r="A20" s="174" t="s">
        <v>18</v>
      </c>
      <c r="B20" s="241"/>
      <c r="C20" s="241"/>
      <c r="D20" s="241"/>
      <c r="E20" s="241"/>
      <c r="F20" s="241"/>
      <c r="G20" s="241"/>
      <c r="H20" s="241"/>
      <c r="I20" s="73">
        <f>SUM(B20:H20)</f>
        <v>0</v>
      </c>
      <c r="J20" s="78"/>
      <c r="K20" s="124"/>
      <c r="L20" s="78"/>
    </row>
    <row r="21" spans="1:13" ht="15" customHeight="1" thickBot="1" x14ac:dyDescent="0.35">
      <c r="A21" s="243" t="s">
        <v>523</v>
      </c>
      <c r="B21" s="241"/>
      <c r="C21" s="241"/>
      <c r="D21" s="241"/>
      <c r="E21" s="241"/>
      <c r="F21" s="241"/>
      <c r="G21" s="241"/>
      <c r="H21" s="241"/>
      <c r="I21" s="223"/>
      <c r="J21" s="78"/>
      <c r="K21" s="124"/>
      <c r="L21" s="78"/>
    </row>
    <row r="22" spans="1:13" ht="15" thickBot="1" x14ac:dyDescent="0.35">
      <c r="A22" s="129" t="s">
        <v>101</v>
      </c>
      <c r="B22" s="139"/>
      <c r="C22" s="139"/>
      <c r="D22" s="139"/>
      <c r="E22" s="139"/>
      <c r="F22" s="139"/>
      <c r="G22" s="139">
        <f>SUMIF(HK!A:A,"093*",HK!L:L)-SUMIF(HK!A:A,"093*",HK!K:K)</f>
        <v>0</v>
      </c>
      <c r="H22" s="139">
        <f>SUMIF(SUA!C:C,"010",SUA!E:E)</f>
        <v>0</v>
      </c>
      <c r="I22" s="152">
        <f>I18+I19-I20</f>
        <v>0</v>
      </c>
      <c r="J22" s="78"/>
      <c r="K22" s="38"/>
      <c r="L22" s="207"/>
      <c r="M22" s="232"/>
    </row>
    <row r="23" spans="1:13" ht="15" customHeight="1" thickTop="1" thickBot="1" x14ac:dyDescent="0.35">
      <c r="A23" s="15" t="s">
        <v>705</v>
      </c>
      <c r="B23" s="145"/>
      <c r="C23" s="145"/>
      <c r="D23" s="145"/>
      <c r="E23" s="145"/>
      <c r="F23" s="145"/>
      <c r="G23" s="145"/>
      <c r="H23" s="145"/>
      <c r="I23" s="118"/>
      <c r="J23" s="78"/>
      <c r="K23" s="78"/>
      <c r="L23" s="78"/>
    </row>
    <row r="24" spans="1:13" ht="15" customHeight="1" thickTop="1" thickBot="1" x14ac:dyDescent="0.35">
      <c r="A24" s="18" t="s">
        <v>69</v>
      </c>
      <c r="B24" s="241"/>
      <c r="C24" s="241"/>
      <c r="D24" s="241"/>
      <c r="E24" s="241"/>
      <c r="F24" s="241"/>
      <c r="G24" s="241"/>
      <c r="H24" s="241"/>
      <c r="I24" s="73">
        <f>I6-I12-I18</f>
        <v>22053.070000000003</v>
      </c>
      <c r="J24" s="78"/>
      <c r="K24" s="78"/>
      <c r="L24" s="78"/>
    </row>
    <row r="25" spans="1:13" ht="15" customHeight="1" thickBot="1" x14ac:dyDescent="0.35">
      <c r="A25" s="129" t="s">
        <v>101</v>
      </c>
      <c r="B25" s="49"/>
      <c r="C25" s="49"/>
      <c r="D25" s="49"/>
      <c r="E25" s="49"/>
      <c r="F25" s="49"/>
      <c r="G25" s="49"/>
      <c r="H25" s="49"/>
      <c r="I25" s="152">
        <f>I10-I16-I22</f>
        <v>22053.070000000003</v>
      </c>
      <c r="J25" s="78"/>
      <c r="K25" s="78"/>
      <c r="L25" s="78"/>
    </row>
    <row r="26" spans="1:13" ht="15" thickTop="1" x14ac:dyDescent="0.3">
      <c r="A26" s="54"/>
      <c r="B26" s="161"/>
      <c r="C26" s="161"/>
      <c r="D26" s="161"/>
      <c r="E26" s="161"/>
      <c r="F26" s="161"/>
      <c r="G26" s="161"/>
      <c r="H26" s="161"/>
      <c r="I26" s="161"/>
      <c r="J26" s="78"/>
      <c r="K26" s="78"/>
      <c r="L26" s="78"/>
    </row>
    <row r="27" spans="1:13" x14ac:dyDescent="0.3">
      <c r="A27" s="48"/>
      <c r="B27" s="7"/>
      <c r="C27" s="7"/>
      <c r="D27" s="7"/>
      <c r="E27" s="7"/>
      <c r="F27" s="7"/>
      <c r="G27" s="7"/>
      <c r="H27" s="7"/>
      <c r="I27" s="7"/>
      <c r="J27" s="78"/>
      <c r="K27" s="78"/>
      <c r="L27" s="78"/>
    </row>
    <row r="28" spans="1:13" x14ac:dyDescent="0.3">
      <c r="A28" s="48" t="s">
        <v>8</v>
      </c>
      <c r="B28" s="7"/>
      <c r="C28" s="7"/>
      <c r="D28" s="7"/>
      <c r="E28" s="7"/>
      <c r="F28" s="7"/>
      <c r="G28" s="7"/>
      <c r="H28" s="7"/>
      <c r="I28" s="7"/>
      <c r="J28" s="78"/>
      <c r="K28" s="78"/>
      <c r="L28" s="78"/>
    </row>
    <row r="29" spans="1:13" ht="15" thickBot="1" x14ac:dyDescent="0.35">
      <c r="A29" s="54"/>
      <c r="B29" s="161"/>
      <c r="C29" s="161"/>
      <c r="D29" s="161"/>
      <c r="E29" s="161"/>
      <c r="F29" s="161"/>
      <c r="G29" s="161"/>
      <c r="H29" s="161"/>
      <c r="I29" s="7"/>
      <c r="J29" s="78"/>
      <c r="K29" s="78"/>
      <c r="L29" s="78"/>
    </row>
    <row r="30" spans="1:13" ht="15" customHeight="1" thickTop="1" thickBot="1" x14ac:dyDescent="0.35">
      <c r="A30" s="252" t="s">
        <v>114</v>
      </c>
      <c r="B30" s="254" t="s">
        <v>860</v>
      </c>
      <c r="C30" s="255"/>
      <c r="D30" s="255"/>
      <c r="E30" s="255"/>
      <c r="F30" s="255"/>
      <c r="G30" s="255"/>
      <c r="H30" s="255"/>
      <c r="I30" s="256"/>
      <c r="J30" s="78"/>
      <c r="K30" s="78"/>
      <c r="L30" s="78"/>
    </row>
    <row r="31" spans="1:13" ht="31.8" thickTop="1" thickBot="1" x14ac:dyDescent="0.35">
      <c r="A31" s="253"/>
      <c r="B31" s="225" t="s">
        <v>241</v>
      </c>
      <c r="C31" s="89" t="s">
        <v>732</v>
      </c>
      <c r="D31" s="89" t="s">
        <v>951</v>
      </c>
      <c r="E31" s="247" t="s">
        <v>981</v>
      </c>
      <c r="F31" s="225" t="s">
        <v>240</v>
      </c>
      <c r="G31" s="89" t="s">
        <v>602</v>
      </c>
      <c r="H31" s="89" t="s">
        <v>437</v>
      </c>
      <c r="I31" s="89" t="s">
        <v>1027</v>
      </c>
      <c r="J31" s="78"/>
      <c r="K31" s="78"/>
      <c r="L31" s="78"/>
    </row>
    <row r="32" spans="1:13" ht="15" customHeight="1" thickTop="1" thickBot="1" x14ac:dyDescent="0.35">
      <c r="A32" s="15" t="s">
        <v>1288</v>
      </c>
      <c r="B32" s="111"/>
      <c r="C32" s="111"/>
      <c r="D32" s="111"/>
      <c r="E32" s="111"/>
      <c r="F32" s="111"/>
      <c r="G32" s="111"/>
      <c r="H32" s="111"/>
      <c r="I32" s="118"/>
      <c r="J32" s="78"/>
      <c r="K32" s="78"/>
      <c r="L32" s="78"/>
    </row>
    <row r="33" spans="1:13" ht="15.6" thickTop="1" thickBot="1" x14ac:dyDescent="0.35">
      <c r="A33" s="18" t="s">
        <v>1107</v>
      </c>
      <c r="B33" s="139">
        <f>SUMIF(HKM!A:A,"012*",HKM!C:C)-SUMIF(HKM!A:A,"012*",HKM!D:D)</f>
        <v>0</v>
      </c>
      <c r="C33" s="139">
        <f>SUMIF(HKM!A:A,"013*",HKM!C:C)-SUMIF(HKM!A:A,"013*",HKM!D:D)</f>
        <v>32419.8</v>
      </c>
      <c r="D33" s="139">
        <f>SUMIF(HKM!A:A,"014*",HKM!C:C)-SUMIF(HKM!A:A,"014*",HKM!D:D)</f>
        <v>0</v>
      </c>
      <c r="E33" s="139">
        <f>SUMIF(HKM!A:A,"015*",HKM!C:C)-SUMIF(HKM!A:A,"015*",HKM!D:D)</f>
        <v>0</v>
      </c>
      <c r="F33" s="139">
        <f>SUMIF(HKM!A:A,"019*",HKM!C:C)-SUMIF(HKM!A:A,"019*",HKM!D:D)</f>
        <v>0</v>
      </c>
      <c r="G33" s="139">
        <f>SUMIF(HKM!A:A,"041*",HKM!C:C)-SUMIF(HKM!A:A,"041*",HKM!D:D)</f>
        <v>0</v>
      </c>
      <c r="H33" s="139">
        <f>SUMIF(HKM!A:A,"051*",HKM!C:C)-SUMIF(HKM!A:A,"051*",HKM!D:D)</f>
        <v>0</v>
      </c>
      <c r="I33" s="73">
        <f>SUM(B33:H33)</f>
        <v>32419.8</v>
      </c>
      <c r="J33" s="78"/>
      <c r="K33" s="38"/>
      <c r="L33" s="78"/>
    </row>
    <row r="34" spans="1:13" ht="15" customHeight="1" thickBot="1" x14ac:dyDescent="0.35">
      <c r="A34" s="174" t="s">
        <v>1261</v>
      </c>
      <c r="B34" s="241"/>
      <c r="C34" s="241"/>
      <c r="D34" s="241"/>
      <c r="E34" s="241"/>
      <c r="F34" s="29"/>
      <c r="G34" s="241"/>
      <c r="H34" s="241"/>
      <c r="I34" s="73">
        <f>SUM(B34:H34)</f>
        <v>0</v>
      </c>
      <c r="J34" s="78"/>
      <c r="K34" s="78"/>
      <c r="L34" s="78"/>
    </row>
    <row r="35" spans="1:13" ht="15" customHeight="1" thickBot="1" x14ac:dyDescent="0.35">
      <c r="A35" s="174" t="s">
        <v>18</v>
      </c>
      <c r="B35" s="241"/>
      <c r="C35" s="241"/>
      <c r="D35" s="241"/>
      <c r="E35" s="241"/>
      <c r="F35" s="29"/>
      <c r="G35" s="241"/>
      <c r="H35" s="241"/>
      <c r="I35" s="73">
        <f>SUM(B35:H35)</f>
        <v>0</v>
      </c>
      <c r="J35" s="78"/>
      <c r="K35" s="78"/>
      <c r="L35" s="78"/>
    </row>
    <row r="36" spans="1:13" ht="15" customHeight="1" thickBot="1" x14ac:dyDescent="0.35">
      <c r="A36" s="174" t="s">
        <v>523</v>
      </c>
      <c r="B36" s="241"/>
      <c r="C36" s="241"/>
      <c r="D36" s="241"/>
      <c r="E36" s="241"/>
      <c r="F36" s="29"/>
      <c r="G36" s="241"/>
      <c r="H36" s="241"/>
      <c r="I36" s="73">
        <f>SUM(B36:H36)</f>
        <v>0</v>
      </c>
      <c r="J36" s="78"/>
      <c r="K36" s="78"/>
      <c r="L36" s="78"/>
    </row>
    <row r="37" spans="1:13" ht="15" thickBot="1" x14ac:dyDescent="0.35">
      <c r="A37" s="129" t="s">
        <v>101</v>
      </c>
      <c r="B37" s="139">
        <f>SUMIF(HKM!A:A,"012*",HKM!K:K)-SUMIF(HKM!A:A,"012*",HKM!L:L)</f>
        <v>0</v>
      </c>
      <c r="C37" s="139">
        <f>SUMIF(HKM!A:A,"013*",HKM!K:K)-SUMIF(HKM!A:A,"013*",HKM!L:L)</f>
        <v>45419.8</v>
      </c>
      <c r="D37" s="139">
        <f>SUMIF(HKM!A:A,"014*",HKM!K:K)-SUMIF(HKM!A:A,"014*",HKM!L:L)</f>
        <v>0</v>
      </c>
      <c r="E37" s="139">
        <f>SUMIF(HKM!A:A,"015*",HKM!K:K)-SUMIF(HKM!A:A,"015*",HKM!L:L)</f>
        <v>0</v>
      </c>
      <c r="F37" s="139">
        <f>SUMIF(HKM!A:A,"019*",HKM!K:K)-SUMIF(HKM!A:A,"019*",HKM!L:L)</f>
        <v>0</v>
      </c>
      <c r="G37" s="139">
        <f>SUMIF(HKM!A:A,"041*",HKM!K:K)-SUMIF(HKM!A:A,"041*",HKM!L:L)</f>
        <v>0</v>
      </c>
      <c r="H37" s="139">
        <f>SUMIF(HKM!A:A,"051*",HKM!K:K)-SUMIF(HKM!A:A,"051*",HKM!L:L)</f>
        <v>0</v>
      </c>
      <c r="I37" s="152">
        <f>I33+I34-I35+I36</f>
        <v>32419.8</v>
      </c>
      <c r="J37" s="78"/>
      <c r="K37" s="38"/>
      <c r="L37" s="78"/>
    </row>
    <row r="38" spans="1:13" ht="15" customHeight="1" thickTop="1" thickBot="1" x14ac:dyDescent="0.35">
      <c r="A38" s="15" t="s">
        <v>306</v>
      </c>
      <c r="B38" s="145"/>
      <c r="C38" s="145"/>
      <c r="D38" s="145"/>
      <c r="E38" s="145"/>
      <c r="F38" s="145"/>
      <c r="G38" s="145"/>
      <c r="H38" s="145"/>
      <c r="I38" s="118"/>
      <c r="J38" s="78"/>
      <c r="K38" s="78"/>
      <c r="L38" s="78"/>
    </row>
    <row r="39" spans="1:13" ht="15.6" thickTop="1" thickBot="1" x14ac:dyDescent="0.35">
      <c r="A39" s="18" t="s">
        <v>69</v>
      </c>
      <c r="B39" s="139">
        <f>SUMIF(HKM!A:A,"071*",HKM!D:D)-SUMIF(HKM!A:A,"071*",HKM!C:C)</f>
        <v>0</v>
      </c>
      <c r="C39" s="139">
        <f>SUMIF(HKM!A:A,"073*",HKM!D:D)-SUMIF(HKM!A:A,"073*",HKM!C:C)</f>
        <v>14157.73</v>
      </c>
      <c r="D39" s="139">
        <f>SUMIF(HKM!A:A,"074*",HKM!D:D)-SUMIF(HKM!A:A,"074*",HKM!C:C)</f>
        <v>0</v>
      </c>
      <c r="E39" s="139">
        <f>SUMIF(HKM!A:A,"075*",HKM!D:D)-SUMIF(HKM!A:A,"075*",HKM!C:C)</f>
        <v>0</v>
      </c>
      <c r="F39" s="139">
        <f>SUMIF(HKM!A:A,"079*",HKM!D:D)-SUMIF(HKM!A:A,"079*",HKM!C:C)</f>
        <v>0</v>
      </c>
      <c r="G39" s="139"/>
      <c r="H39" s="139"/>
      <c r="I39" s="73">
        <f>SUM(B39:H39)</f>
        <v>14157.73</v>
      </c>
      <c r="J39" s="78"/>
      <c r="K39" s="38"/>
      <c r="L39" s="78"/>
    </row>
    <row r="40" spans="1:13" ht="15" customHeight="1" thickBot="1" x14ac:dyDescent="0.35">
      <c r="A40" s="174" t="s">
        <v>1261</v>
      </c>
      <c r="B40" s="241"/>
      <c r="C40" s="241"/>
      <c r="D40" s="241"/>
      <c r="E40" s="241"/>
      <c r="F40" s="241"/>
      <c r="G40" s="241"/>
      <c r="H40" s="241"/>
      <c r="I40" s="73">
        <f>SUM(B40:H40)</f>
        <v>0</v>
      </c>
      <c r="J40" s="78"/>
      <c r="K40" s="78"/>
      <c r="L40" s="78"/>
    </row>
    <row r="41" spans="1:13" ht="15" customHeight="1" thickBot="1" x14ac:dyDescent="0.35">
      <c r="A41" s="59" t="s">
        <v>18</v>
      </c>
      <c r="B41" s="61"/>
      <c r="C41" s="61"/>
      <c r="D41" s="61"/>
      <c r="E41" s="61"/>
      <c r="F41" s="61"/>
      <c r="G41" s="61"/>
      <c r="H41" s="61"/>
      <c r="I41" s="171">
        <f>SUM(B41:H41)</f>
        <v>0</v>
      </c>
      <c r="J41" s="78"/>
      <c r="K41" s="78"/>
      <c r="L41" s="78"/>
    </row>
    <row r="42" spans="1:13" s="112" customFormat="1" ht="15" customHeight="1" thickBot="1" x14ac:dyDescent="0.35">
      <c r="A42" s="57" t="s">
        <v>523</v>
      </c>
      <c r="B42" s="172"/>
      <c r="C42" s="172"/>
      <c r="D42" s="172"/>
      <c r="E42" s="172"/>
      <c r="F42" s="172"/>
      <c r="G42" s="172"/>
      <c r="H42" s="172"/>
      <c r="I42" s="172"/>
      <c r="J42" s="224"/>
      <c r="K42" s="224"/>
      <c r="L42" s="224"/>
    </row>
    <row r="43" spans="1:13" ht="15" thickBot="1" x14ac:dyDescent="0.35">
      <c r="A43" s="129" t="s">
        <v>101</v>
      </c>
      <c r="B43" s="139">
        <f>SUMIF(HKM!A:A,"071*",HKM!L:L)-SUMIF(HKM!A:A,"071*",HKM!K:K)</f>
        <v>0</v>
      </c>
      <c r="C43" s="139">
        <f>SUMIF(HKM!A:A,"073*",HKM!L:L)-SUMIF(HKM!A:A,"073*",HKM!K:K)</f>
        <v>23366.73</v>
      </c>
      <c r="D43" s="139">
        <f>SUMIF(HKM!A:A,"074*",HKM!L:L)-SUMIF(HKM!A:A,"074*",HKM!K:K)</f>
        <v>0</v>
      </c>
      <c r="E43" s="139">
        <f>SUMIF(HKM!A:A,"075*",HKM!L:L)-SUMIF(HKM!A:A,"075*",HKM!K:K)</f>
        <v>0</v>
      </c>
      <c r="F43" s="139">
        <f>SUMIF(HKM!A:A,"079*",HKM!L:L)-SUMIF(HKM!A:A,"079*",HKM!K:K)</f>
        <v>0</v>
      </c>
      <c r="G43" s="49"/>
      <c r="H43" s="49"/>
      <c r="I43" s="152">
        <f>I39+I40-I41</f>
        <v>14157.73</v>
      </c>
      <c r="J43" s="78"/>
      <c r="K43" s="38"/>
      <c r="L43" s="78"/>
    </row>
    <row r="44" spans="1:13" ht="15" customHeight="1" thickTop="1" thickBot="1" x14ac:dyDescent="0.35">
      <c r="A44" s="15" t="s">
        <v>1273</v>
      </c>
      <c r="B44" s="145"/>
      <c r="C44" s="145"/>
      <c r="D44" s="145"/>
      <c r="E44" s="145"/>
      <c r="F44" s="145"/>
      <c r="G44" s="145"/>
      <c r="H44" s="145"/>
      <c r="I44" s="118"/>
      <c r="J44" s="78"/>
      <c r="K44" s="78"/>
      <c r="L44" s="78"/>
    </row>
    <row r="45" spans="1:13" ht="15.6" thickTop="1" thickBot="1" x14ac:dyDescent="0.35">
      <c r="A45" s="18" t="s">
        <v>69</v>
      </c>
      <c r="B45" s="139"/>
      <c r="C45" s="139"/>
      <c r="D45" s="139"/>
      <c r="E45" s="139"/>
      <c r="F45" s="139"/>
      <c r="G45" s="139">
        <f>SUMIF(HKM!A:A,"093*",HKM!D:D)-SUMIF(HKM!A:A,"093*",HKM!C:C)</f>
        <v>0</v>
      </c>
      <c r="H45" s="139"/>
      <c r="I45" s="73">
        <f>SUM(B45:H45)</f>
        <v>0</v>
      </c>
      <c r="J45" s="78"/>
      <c r="K45" s="38"/>
      <c r="L45" s="213"/>
      <c r="M45" s="232"/>
    </row>
    <row r="46" spans="1:13" ht="15" customHeight="1" thickBot="1" x14ac:dyDescent="0.35">
      <c r="A46" s="174" t="s">
        <v>1261</v>
      </c>
      <c r="B46" s="241"/>
      <c r="C46" s="241"/>
      <c r="D46" s="241"/>
      <c r="E46" s="241"/>
      <c r="F46" s="241"/>
      <c r="G46" s="241"/>
      <c r="H46" s="241"/>
      <c r="I46" s="73">
        <f>SUM(B46:H46)</f>
        <v>0</v>
      </c>
      <c r="J46" s="78"/>
      <c r="K46" s="124"/>
      <c r="L46" s="78"/>
    </row>
    <row r="47" spans="1:13" ht="15" customHeight="1" thickBot="1" x14ac:dyDescent="0.35">
      <c r="A47" s="174" t="s">
        <v>18</v>
      </c>
      <c r="B47" s="241"/>
      <c r="C47" s="241"/>
      <c r="D47" s="241"/>
      <c r="E47" s="241"/>
      <c r="F47" s="241"/>
      <c r="G47" s="241"/>
      <c r="H47" s="241"/>
      <c r="I47" s="73">
        <f>SUM(B47:H47)</f>
        <v>0</v>
      </c>
      <c r="J47" s="78"/>
      <c r="K47" s="124"/>
      <c r="L47" s="78"/>
    </row>
    <row r="48" spans="1:13" ht="15" customHeight="1" thickBot="1" x14ac:dyDescent="0.35">
      <c r="A48" s="57" t="s">
        <v>523</v>
      </c>
      <c r="B48" s="241"/>
      <c r="C48" s="241"/>
      <c r="D48" s="241"/>
      <c r="E48" s="241"/>
      <c r="F48" s="241"/>
      <c r="G48" s="241"/>
      <c r="H48" s="241"/>
      <c r="I48" s="172"/>
      <c r="J48" s="78"/>
      <c r="K48" s="124"/>
      <c r="L48" s="78"/>
    </row>
    <row r="49" spans="1:13" ht="15" thickBot="1" x14ac:dyDescent="0.35">
      <c r="A49" s="129" t="s">
        <v>101</v>
      </c>
      <c r="B49" s="139"/>
      <c r="C49" s="139"/>
      <c r="D49" s="139"/>
      <c r="E49" s="139"/>
      <c r="F49" s="139"/>
      <c r="G49" s="139">
        <f>SUMIF(HKM!A:A,"093*",HKM!L:L)-SUMIF(HKM!A:A,"093*",HKM!K:K)</f>
        <v>0</v>
      </c>
      <c r="H49" s="139">
        <f>SUMIF(SUAM!C:C,"010",SUAM!E:E)</f>
        <v>0</v>
      </c>
      <c r="I49" s="152">
        <f>I45+I46-I47</f>
        <v>0</v>
      </c>
      <c r="J49" s="78"/>
      <c r="K49" s="38"/>
      <c r="L49" s="207"/>
      <c r="M49" s="232"/>
    </row>
    <row r="50" spans="1:13" ht="15" customHeight="1" thickTop="1" thickBot="1" x14ac:dyDescent="0.35">
      <c r="A50" s="15" t="s">
        <v>705</v>
      </c>
      <c r="B50" s="145"/>
      <c r="C50" s="145"/>
      <c r="D50" s="145"/>
      <c r="E50" s="145"/>
      <c r="F50" s="145"/>
      <c r="G50" s="145"/>
      <c r="H50" s="145"/>
      <c r="I50" s="118"/>
      <c r="J50" s="78"/>
      <c r="K50" s="78"/>
      <c r="L50" s="78"/>
    </row>
    <row r="51" spans="1:13" ht="15" customHeight="1" thickTop="1" thickBot="1" x14ac:dyDescent="0.35">
      <c r="A51" s="18" t="s">
        <v>69</v>
      </c>
      <c r="B51" s="241"/>
      <c r="C51" s="241"/>
      <c r="D51" s="241"/>
      <c r="E51" s="241"/>
      <c r="F51" s="241"/>
      <c r="G51" s="241"/>
      <c r="H51" s="241"/>
      <c r="I51" s="73">
        <f>I33-I39-I45</f>
        <v>18262.07</v>
      </c>
      <c r="J51" s="78"/>
      <c r="K51" s="78"/>
      <c r="L51" s="78"/>
    </row>
    <row r="52" spans="1:13" ht="15" customHeight="1" thickBot="1" x14ac:dyDescent="0.35">
      <c r="A52" s="129" t="s">
        <v>101</v>
      </c>
      <c r="B52" s="49"/>
      <c r="C52" s="49"/>
      <c r="D52" s="49"/>
      <c r="E52" s="49"/>
      <c r="F52" s="49"/>
      <c r="G52" s="49"/>
      <c r="H52" s="49"/>
      <c r="I52" s="152">
        <f>I37-I43-I49</f>
        <v>18262.07</v>
      </c>
      <c r="J52" s="78"/>
      <c r="K52" s="78"/>
      <c r="L52" s="78"/>
    </row>
    <row r="53" spans="1:13" ht="15" thickTop="1" x14ac:dyDescent="0.3"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</row>
    <row r="55" spans="1:13" x14ac:dyDescent="0.3">
      <c r="B55" t="s">
        <v>1356</v>
      </c>
    </row>
    <row r="56" spans="1:13" x14ac:dyDescent="0.3">
      <c r="B56" t="s">
        <v>1357</v>
      </c>
    </row>
    <row r="58" spans="1:13" x14ac:dyDescent="0.3">
      <c r="B58" t="s">
        <v>1358</v>
      </c>
    </row>
    <row r="60" spans="1:13" x14ac:dyDescent="0.3">
      <c r="B60" t="s">
        <v>1359</v>
      </c>
    </row>
    <row r="62" spans="1:13" x14ac:dyDescent="0.3">
      <c r="B62" t="s">
        <v>1360</v>
      </c>
    </row>
    <row r="64" spans="1:13" x14ac:dyDescent="0.3">
      <c r="B64" t="s">
        <v>1361</v>
      </c>
    </row>
    <row r="65" spans="2:2" x14ac:dyDescent="0.3">
      <c r="B65" t="s">
        <v>1362</v>
      </c>
    </row>
    <row r="67" spans="2:2" x14ac:dyDescent="0.3">
      <c r="B67" t="s">
        <v>1363</v>
      </c>
    </row>
    <row r="69" spans="2:2" x14ac:dyDescent="0.3">
      <c r="B69" t="s">
        <v>1364</v>
      </c>
    </row>
    <row r="70" spans="2:2" x14ac:dyDescent="0.3">
      <c r="B70" t="s">
        <v>1365</v>
      </c>
    </row>
    <row r="71" spans="2:2" x14ac:dyDescent="0.3">
      <c r="B71" t="s">
        <v>1366</v>
      </c>
    </row>
    <row r="72" spans="2:2" x14ac:dyDescent="0.3">
      <c r="B72" t="s">
        <v>1367</v>
      </c>
    </row>
    <row r="73" spans="2:2" x14ac:dyDescent="0.3">
      <c r="B73" t="s">
        <v>1368</v>
      </c>
    </row>
    <row r="74" spans="2:2" x14ac:dyDescent="0.3">
      <c r="B74" t="s">
        <v>1369</v>
      </c>
    </row>
    <row r="75" spans="2:2" x14ac:dyDescent="0.3">
      <c r="B75" t="s">
        <v>1370</v>
      </c>
    </row>
    <row r="76" spans="2:2" x14ac:dyDescent="0.3">
      <c r="B76" t="s">
        <v>1371</v>
      </c>
    </row>
    <row r="77" spans="2:2" x14ac:dyDescent="0.3">
      <c r="B77" t="s">
        <v>1372</v>
      </c>
    </row>
    <row r="78" spans="2:2" x14ac:dyDescent="0.3">
      <c r="B78" t="s">
        <v>1373</v>
      </c>
    </row>
    <row r="79" spans="2:2" x14ac:dyDescent="0.3">
      <c r="B79" t="s">
        <v>1374</v>
      </c>
    </row>
    <row r="80" spans="2:2" x14ac:dyDescent="0.3">
      <c r="B80" t="s">
        <v>1370</v>
      </c>
    </row>
    <row r="81" spans="2:2" x14ac:dyDescent="0.3">
      <c r="B81" t="s">
        <v>1375</v>
      </c>
    </row>
    <row r="82" spans="2:2" x14ac:dyDescent="0.3">
      <c r="B82" t="s">
        <v>1372</v>
      </c>
    </row>
    <row r="83" spans="2:2" x14ac:dyDescent="0.3">
      <c r="B83" t="s">
        <v>1376</v>
      </c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zoomScaleSheetLayoutView="100" workbookViewId="0"/>
  </sheetViews>
  <sheetFormatPr defaultRowHeight="14.4" x14ac:dyDescent="0.3"/>
  <cols>
    <col min="1" max="1" width="33" customWidth="1"/>
    <col min="2" max="3" width="26.6640625" customWidth="1"/>
    <col min="4" max="4" width="14.109375" customWidth="1"/>
    <col min="5" max="5" width="14.44140625" customWidth="1"/>
    <col min="6" max="7" width="23.33203125" customWidth="1"/>
  </cols>
  <sheetData>
    <row r="1" spans="1:6" ht="15" thickBot="1" x14ac:dyDescent="0.35">
      <c r="A1" s="44" t="s">
        <v>803</v>
      </c>
    </row>
    <row r="2" spans="1:6" ht="21.75" customHeight="1" thickTop="1" thickBot="1" x14ac:dyDescent="0.35">
      <c r="A2" s="211" t="s">
        <v>592</v>
      </c>
      <c r="B2" s="47" t="s">
        <v>137</v>
      </c>
      <c r="C2" s="47" t="s">
        <v>860</v>
      </c>
    </row>
    <row r="3" spans="1:6" ht="21.75" customHeight="1" thickTop="1" thickBot="1" x14ac:dyDescent="0.35">
      <c r="A3" s="175" t="s">
        <v>1237</v>
      </c>
      <c r="B3" s="242">
        <f>SUMIF(HK!A:A,"472*",HK!D:D)-SUMIF(HK!A:A,"472*",HK!C:C)</f>
        <v>16612.169999999998</v>
      </c>
      <c r="C3" s="75">
        <f>SUMIF(HKM!A:A,"472*",HKM!D:D)-SUMIF(HKM!A:A,"472*",HKM!C:C)</f>
        <v>14826.45</v>
      </c>
      <c r="D3" s="222"/>
      <c r="E3" s="189"/>
      <c r="F3" s="222"/>
    </row>
    <row r="4" spans="1:6" ht="21.75" customHeight="1" thickBot="1" x14ac:dyDescent="0.35">
      <c r="A4" s="17" t="s">
        <v>1205</v>
      </c>
      <c r="B4" s="140"/>
      <c r="C4" s="237"/>
      <c r="D4" s="222"/>
      <c r="E4" s="222"/>
      <c r="F4" s="222"/>
    </row>
    <row r="5" spans="1:6" ht="21.75" customHeight="1" thickBot="1" x14ac:dyDescent="0.35">
      <c r="A5" s="17" t="s">
        <v>1224</v>
      </c>
      <c r="B5" s="140"/>
      <c r="C5" s="237"/>
      <c r="D5" s="222"/>
      <c r="E5" s="222"/>
      <c r="F5" s="222"/>
    </row>
    <row r="6" spans="1:6" ht="21.75" customHeight="1" thickBot="1" x14ac:dyDescent="0.35">
      <c r="A6" s="17" t="s">
        <v>454</v>
      </c>
      <c r="B6" s="140"/>
      <c r="C6" s="237"/>
      <c r="D6" s="222"/>
      <c r="E6" s="222"/>
      <c r="F6" s="222"/>
    </row>
    <row r="7" spans="1:6" ht="21.75" customHeight="1" thickBot="1" x14ac:dyDescent="0.35">
      <c r="A7" s="175" t="s">
        <v>1238</v>
      </c>
      <c r="B7" s="140">
        <f>SUM(B4:B6)</f>
        <v>0</v>
      </c>
      <c r="C7" s="237">
        <f>SUM(C4:C6)</f>
        <v>0</v>
      </c>
      <c r="D7" s="222"/>
      <c r="E7" s="222"/>
      <c r="F7" s="222"/>
    </row>
    <row r="8" spans="1:6" ht="21.75" customHeight="1" thickBot="1" x14ac:dyDescent="0.35">
      <c r="A8" s="175" t="s">
        <v>593</v>
      </c>
      <c r="B8" s="140"/>
      <c r="C8" s="237"/>
      <c r="D8" s="222"/>
      <c r="E8" s="222"/>
      <c r="F8" s="222"/>
    </row>
    <row r="9" spans="1:6" ht="21.75" customHeight="1" thickBot="1" x14ac:dyDescent="0.35">
      <c r="A9" s="36" t="s">
        <v>882</v>
      </c>
      <c r="B9" s="50">
        <f>SUMIF(HK!A:A,"472*",HK!L:L)-SUMIF(HK!A:A,"472*",HK!K:K)</f>
        <v>16612.169999999998</v>
      </c>
      <c r="C9" s="153">
        <f>SUMIF(HKM!A:A,"472*",HKM!L:L)-SUMIF(HKM!A:A,"472*",HKM!K:K)</f>
        <v>16612.169999999998</v>
      </c>
      <c r="D9" s="222"/>
      <c r="E9" s="189"/>
      <c r="F9" s="222"/>
    </row>
    <row r="10" spans="1:6" ht="15" thickTop="1" x14ac:dyDescent="0.3">
      <c r="A10" s="251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"/>
  <sheetViews>
    <sheetView showGridLines="0" zoomScaleNormal="100" zoomScaleSheetLayoutView="100" workbookViewId="0"/>
  </sheetViews>
  <sheetFormatPr defaultRowHeight="14.4" x14ac:dyDescent="0.3"/>
  <cols>
    <col min="1" max="6" width="14.44140625" customWidth="1"/>
    <col min="7" max="7" width="23.33203125" customWidth="1"/>
  </cols>
  <sheetData>
    <row r="1" spans="1:6" ht="23.25" customHeight="1" thickBot="1" x14ac:dyDescent="0.35">
      <c r="A1" s="44" t="s">
        <v>936</v>
      </c>
    </row>
    <row r="2" spans="1:6" s="173" customFormat="1" ht="21.75" customHeight="1" thickTop="1" thickBot="1" x14ac:dyDescent="0.35">
      <c r="A2" s="211" t="s">
        <v>1024</v>
      </c>
      <c r="B2" s="47" t="s">
        <v>173</v>
      </c>
      <c r="C2" s="47" t="s">
        <v>314</v>
      </c>
      <c r="D2" s="47" t="s">
        <v>1012</v>
      </c>
      <c r="E2" s="47" t="s">
        <v>985</v>
      </c>
      <c r="F2" s="47" t="s">
        <v>613</v>
      </c>
    </row>
    <row r="3" spans="1:6" ht="21.75" customHeight="1" thickTop="1" thickBot="1" x14ac:dyDescent="0.35">
      <c r="A3" s="185"/>
      <c r="B3" s="77"/>
      <c r="C3" s="208"/>
      <c r="D3" s="208"/>
      <c r="E3" s="208"/>
      <c r="F3" s="35"/>
    </row>
    <row r="4" spans="1:6" ht="21.75" customHeight="1" thickBot="1" x14ac:dyDescent="0.35">
      <c r="A4" s="185"/>
      <c r="B4" s="77"/>
      <c r="C4" s="208"/>
      <c r="D4" s="208"/>
      <c r="E4" s="208"/>
      <c r="F4" s="35"/>
    </row>
    <row r="5" spans="1:6" ht="21.75" customHeight="1" thickBot="1" x14ac:dyDescent="0.35">
      <c r="A5" s="185"/>
      <c r="B5" s="77"/>
      <c r="C5" s="208"/>
      <c r="D5" s="208"/>
      <c r="E5" s="208"/>
      <c r="F5" s="35"/>
    </row>
    <row r="6" spans="1:6" ht="21.75" customHeight="1" thickBot="1" x14ac:dyDescent="0.35">
      <c r="A6" s="67"/>
      <c r="B6" s="138"/>
      <c r="C6" s="13"/>
      <c r="D6" s="13"/>
      <c r="E6" s="13"/>
      <c r="F6" s="121"/>
    </row>
    <row r="7" spans="1:6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topLeftCell="A10" zoomScaleNormal="100" zoomScaleSheetLayoutView="100" workbookViewId="0">
      <selection sqref="A1:G1"/>
    </sheetView>
  </sheetViews>
  <sheetFormatPr defaultColWidth="9.109375" defaultRowHeight="10.199999999999999" x14ac:dyDescent="0.3"/>
  <cols>
    <col min="1" max="1" width="23" style="146" customWidth="1"/>
    <col min="2" max="2" width="8.33203125" style="146" customWidth="1"/>
    <col min="3" max="6" width="13.88671875" style="146" customWidth="1"/>
    <col min="7" max="7" width="23.33203125" style="146" customWidth="1"/>
    <col min="8" max="16384" width="9.109375" style="146"/>
  </cols>
  <sheetData>
    <row r="1" spans="1:9" ht="18.75" customHeight="1" x14ac:dyDescent="0.3">
      <c r="A1" s="280" t="s">
        <v>919</v>
      </c>
      <c r="B1" s="280"/>
      <c r="C1" s="280"/>
      <c r="D1" s="280"/>
      <c r="E1" s="280"/>
      <c r="F1" s="280"/>
      <c r="G1" s="280"/>
    </row>
    <row r="2" spans="1:9" ht="10.8" thickBot="1" x14ac:dyDescent="0.35">
      <c r="A2" s="146" t="s">
        <v>258</v>
      </c>
    </row>
    <row r="3" spans="1:9" ht="66.75" customHeight="1" thickTop="1" thickBot="1" x14ac:dyDescent="0.35">
      <c r="A3" s="196" t="s">
        <v>592</v>
      </c>
      <c r="B3" s="196" t="s">
        <v>861</v>
      </c>
      <c r="C3" s="32" t="s">
        <v>944</v>
      </c>
      <c r="D3" s="196" t="s">
        <v>269</v>
      </c>
      <c r="E3" s="196" t="s">
        <v>506</v>
      </c>
      <c r="F3" s="196" t="s">
        <v>1267</v>
      </c>
    </row>
    <row r="4" spans="1:9" ht="21.75" customHeight="1" thickTop="1" thickBot="1" x14ac:dyDescent="0.35">
      <c r="A4" s="16" t="s">
        <v>272</v>
      </c>
      <c r="B4" s="164"/>
      <c r="C4" s="164"/>
      <c r="D4" s="164"/>
      <c r="E4" s="164"/>
      <c r="F4" s="180"/>
    </row>
    <row r="5" spans="1:9" ht="21.75" customHeight="1" thickTop="1" thickBot="1" x14ac:dyDescent="0.35">
      <c r="A5" s="27"/>
      <c r="B5" s="123"/>
      <c r="C5" s="178"/>
      <c r="D5" s="12"/>
      <c r="E5" s="182"/>
      <c r="F5" s="133"/>
    </row>
    <row r="6" spans="1:9" ht="21.75" customHeight="1" thickBot="1" x14ac:dyDescent="0.35">
      <c r="A6" s="17"/>
      <c r="B6" s="104"/>
      <c r="C6" s="154"/>
      <c r="D6" s="234"/>
      <c r="E6" s="208"/>
      <c r="F6" s="35"/>
    </row>
    <row r="7" spans="1:9" ht="21.75" customHeight="1" thickBot="1" x14ac:dyDescent="0.35">
      <c r="A7" s="17"/>
      <c r="B7" s="104"/>
      <c r="C7" s="154"/>
      <c r="D7" s="234"/>
      <c r="E7" s="242">
        <f>SUMIF(SUP!C:C,"121",SUP!D:D)</f>
        <v>0</v>
      </c>
      <c r="F7" s="75">
        <f>SUMIF(SUP!C:C,"121",SUP!E:E)</f>
        <v>0</v>
      </c>
      <c r="G7" s="188"/>
      <c r="H7" s="95"/>
      <c r="I7" s="188"/>
    </row>
    <row r="8" spans="1:9" ht="21.75" customHeight="1" thickBot="1" x14ac:dyDescent="0.35">
      <c r="A8" s="100" t="s">
        <v>174</v>
      </c>
      <c r="B8" s="28"/>
      <c r="C8" s="150"/>
      <c r="D8" s="150"/>
      <c r="E8" s="220"/>
      <c r="F8" s="226"/>
      <c r="G8" s="188"/>
      <c r="H8" s="188"/>
      <c r="I8" s="188"/>
    </row>
    <row r="9" spans="1:9" ht="21.75" customHeight="1" thickTop="1" thickBot="1" x14ac:dyDescent="0.35">
      <c r="A9" s="17"/>
      <c r="B9" s="104"/>
      <c r="C9" s="154"/>
      <c r="D9" s="234"/>
      <c r="E9" s="140"/>
      <c r="F9" s="237"/>
      <c r="G9" s="188"/>
      <c r="H9" s="188"/>
      <c r="I9" s="188"/>
    </row>
    <row r="10" spans="1:9" ht="21.75" customHeight="1" thickBot="1" x14ac:dyDescent="0.35">
      <c r="A10" s="17"/>
      <c r="B10" s="104"/>
      <c r="C10" s="154"/>
      <c r="D10" s="234"/>
      <c r="E10" s="140"/>
      <c r="F10" s="237"/>
      <c r="G10" s="188"/>
      <c r="H10" s="188"/>
      <c r="I10" s="188"/>
    </row>
    <row r="11" spans="1:9" ht="21.75" customHeight="1" thickBot="1" x14ac:dyDescent="0.35">
      <c r="A11" s="36"/>
      <c r="B11" s="34"/>
      <c r="C11" s="79"/>
      <c r="D11" s="159"/>
      <c r="E11" s="50">
        <f>SUMIF(SUP!C:C,"139",SUP!D:D)</f>
        <v>0</v>
      </c>
      <c r="F11" s="153">
        <f>SUMIF(SUP!C:C,"139",SUP!E:E)</f>
        <v>0</v>
      </c>
      <c r="G11" s="188"/>
      <c r="H11" s="95"/>
      <c r="I11" s="188"/>
    </row>
    <row r="12" spans="1:9" ht="10.8" thickTop="1" x14ac:dyDescent="0.3">
      <c r="A12" s="55"/>
    </row>
    <row r="13" spans="1:9" ht="10.8" thickBot="1" x14ac:dyDescent="0.35">
      <c r="A13" s="146" t="s">
        <v>8</v>
      </c>
    </row>
    <row r="14" spans="1:9" ht="66.75" customHeight="1" thickTop="1" thickBot="1" x14ac:dyDescent="0.35">
      <c r="A14" s="196" t="s">
        <v>592</v>
      </c>
      <c r="B14" s="196" t="s">
        <v>861</v>
      </c>
      <c r="C14" s="32" t="s">
        <v>944</v>
      </c>
      <c r="D14" s="196" t="s">
        <v>269</v>
      </c>
      <c r="E14" s="196" t="s">
        <v>506</v>
      </c>
      <c r="F14" s="196" t="s">
        <v>1267</v>
      </c>
    </row>
    <row r="15" spans="1:9" ht="21.75" customHeight="1" thickTop="1" thickBot="1" x14ac:dyDescent="0.35">
      <c r="A15" s="16" t="s">
        <v>695</v>
      </c>
      <c r="B15" s="164"/>
      <c r="C15" s="164"/>
      <c r="D15" s="164"/>
      <c r="E15" s="164"/>
      <c r="F15" s="180"/>
    </row>
    <row r="16" spans="1:9" ht="21.75" customHeight="1" thickTop="1" thickBot="1" x14ac:dyDescent="0.35">
      <c r="A16" s="17"/>
      <c r="B16" s="104"/>
      <c r="C16" s="154"/>
      <c r="D16" s="234"/>
      <c r="E16" s="208"/>
      <c r="F16" s="35"/>
    </row>
    <row r="17" spans="1:8" ht="21.75" customHeight="1" thickBot="1" x14ac:dyDescent="0.35">
      <c r="A17" s="17"/>
      <c r="B17" s="104"/>
      <c r="C17" s="154"/>
      <c r="D17" s="234"/>
      <c r="E17" s="208"/>
      <c r="F17" s="35"/>
    </row>
    <row r="18" spans="1:8" ht="21.75" customHeight="1" thickBot="1" x14ac:dyDescent="0.35">
      <c r="A18" s="17"/>
      <c r="B18" s="104"/>
      <c r="C18" s="154"/>
      <c r="D18" s="234"/>
      <c r="E18" s="208"/>
      <c r="F18" s="35"/>
    </row>
    <row r="19" spans="1:8" ht="21.75" customHeight="1" thickBot="1" x14ac:dyDescent="0.35">
      <c r="A19" s="100" t="s">
        <v>1227</v>
      </c>
      <c r="B19" s="28"/>
      <c r="C19" s="150"/>
      <c r="D19" s="150"/>
      <c r="E19" s="150"/>
      <c r="F19" s="166"/>
    </row>
    <row r="20" spans="1:8" ht="21.75" customHeight="1" thickTop="1" thickBot="1" x14ac:dyDescent="0.35">
      <c r="A20" s="17"/>
      <c r="B20" s="104"/>
      <c r="C20" s="154"/>
      <c r="D20" s="234"/>
      <c r="E20" s="208"/>
      <c r="F20" s="35"/>
    </row>
    <row r="21" spans="1:8" ht="21.75" customHeight="1" thickBot="1" x14ac:dyDescent="0.35">
      <c r="A21" s="17"/>
      <c r="B21" s="104"/>
      <c r="C21" s="154"/>
      <c r="D21" s="234"/>
      <c r="E21" s="208"/>
      <c r="F21" s="35"/>
    </row>
    <row r="22" spans="1:8" ht="21.75" customHeight="1" thickBot="1" x14ac:dyDescent="0.35">
      <c r="A22" s="17"/>
      <c r="B22" s="104"/>
      <c r="C22" s="154"/>
      <c r="D22" s="234"/>
      <c r="E22" s="208"/>
      <c r="F22" s="35"/>
    </row>
    <row r="23" spans="1:8" ht="21.75" customHeight="1" thickBot="1" x14ac:dyDescent="0.35">
      <c r="A23" s="100" t="s">
        <v>643</v>
      </c>
      <c r="B23" s="28"/>
      <c r="C23" s="150"/>
      <c r="D23" s="150"/>
      <c r="E23" s="150"/>
      <c r="F23" s="166"/>
    </row>
    <row r="24" spans="1:8" ht="21.75" customHeight="1" thickTop="1" thickBot="1" x14ac:dyDescent="0.35">
      <c r="A24" s="17"/>
      <c r="B24" s="104"/>
      <c r="C24" s="154"/>
      <c r="D24" s="234"/>
      <c r="E24" s="208"/>
      <c r="F24" s="35"/>
    </row>
    <row r="25" spans="1:8" ht="21.75" customHeight="1" thickBot="1" x14ac:dyDescent="0.35">
      <c r="A25" s="36"/>
      <c r="B25" s="34"/>
      <c r="C25" s="79"/>
      <c r="D25" s="159"/>
      <c r="E25" s="50">
        <f>SUMIF(SUP!C:C,"140",SUP!D:D)</f>
        <v>0</v>
      </c>
      <c r="F25" s="153">
        <f>SUMIF(SUP!C:C,"140",SUP!E:E)</f>
        <v>0</v>
      </c>
      <c r="G25" s="188"/>
      <c r="H25" s="95"/>
    </row>
    <row r="26" spans="1:8" ht="10.8" thickTop="1" x14ac:dyDescent="0.3">
      <c r="E26" s="188"/>
      <c r="F26" s="188"/>
      <c r="G26" s="188"/>
      <c r="H26" s="188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5"/>
  <sheetViews>
    <sheetView showGridLines="0" zoomScaleNormal="100" zoomScaleSheetLayoutView="100" workbookViewId="0">
      <selection sqref="A1:D1"/>
    </sheetView>
  </sheetViews>
  <sheetFormatPr defaultRowHeight="14.4" x14ac:dyDescent="0.3"/>
  <cols>
    <col min="1" max="1" width="27.5546875" customWidth="1"/>
    <col min="2" max="4" width="19.5546875" customWidth="1"/>
  </cols>
  <sheetData>
    <row r="1" spans="1:4" x14ac:dyDescent="0.3">
      <c r="A1" s="281" t="s">
        <v>824</v>
      </c>
      <c r="B1" s="281"/>
      <c r="C1" s="281"/>
      <c r="D1" s="281"/>
    </row>
    <row r="2" spans="1:4" ht="24" customHeight="1" thickBot="1" x14ac:dyDescent="0.35">
      <c r="A2" s="146" t="s">
        <v>258</v>
      </c>
      <c r="B2" s="146"/>
      <c r="C2" s="146"/>
      <c r="D2" s="146"/>
    </row>
    <row r="3" spans="1:4" ht="15.6" thickTop="1" thickBot="1" x14ac:dyDescent="0.35">
      <c r="A3" s="273" t="s">
        <v>592</v>
      </c>
      <c r="B3" s="257" t="s">
        <v>345</v>
      </c>
      <c r="C3" s="258"/>
      <c r="D3" s="252" t="s">
        <v>1052</v>
      </c>
    </row>
    <row r="4" spans="1:4" ht="15.6" thickTop="1" thickBot="1" x14ac:dyDescent="0.35">
      <c r="A4" s="275"/>
      <c r="B4" s="184" t="s">
        <v>610</v>
      </c>
      <c r="C4" s="217" t="s">
        <v>1298</v>
      </c>
      <c r="D4" s="266"/>
    </row>
    <row r="5" spans="1:4" ht="21.6" thickTop="1" thickBot="1" x14ac:dyDescent="0.35">
      <c r="A5" s="129" t="s">
        <v>1121</v>
      </c>
      <c r="B5" s="14"/>
      <c r="C5" s="14"/>
      <c r="D5" s="122"/>
    </row>
    <row r="6" spans="1:4" ht="15.6" thickTop="1" thickBot="1" x14ac:dyDescent="0.35">
      <c r="A6" s="174"/>
      <c r="B6" s="208"/>
      <c r="C6" s="208"/>
      <c r="D6" s="35"/>
    </row>
    <row r="7" spans="1:4" ht="15" thickBot="1" x14ac:dyDescent="0.35">
      <c r="A7" s="174"/>
      <c r="B7" s="208"/>
      <c r="C7" s="208"/>
      <c r="D7" s="35"/>
    </row>
    <row r="8" spans="1:4" ht="15" thickBot="1" x14ac:dyDescent="0.35">
      <c r="A8" s="174"/>
      <c r="B8" s="208"/>
      <c r="C8" s="208"/>
      <c r="D8" s="35"/>
    </row>
    <row r="9" spans="1:4" ht="15" thickBot="1" x14ac:dyDescent="0.35">
      <c r="A9" s="37"/>
      <c r="B9" s="13"/>
      <c r="C9" s="45"/>
      <c r="D9" s="121"/>
    </row>
    <row r="10" spans="1:4" ht="15.6" thickTop="1" thickBot="1" x14ac:dyDescent="0.35">
      <c r="A10" s="129" t="s">
        <v>54</v>
      </c>
      <c r="B10" s="13"/>
      <c r="C10" s="167"/>
      <c r="D10" s="121"/>
    </row>
    <row r="11" spans="1:4" ht="15.6" thickTop="1" thickBot="1" x14ac:dyDescent="0.35">
      <c r="A11" s="174"/>
      <c r="B11" s="208"/>
      <c r="C11" s="208"/>
      <c r="D11" s="35"/>
    </row>
    <row r="12" spans="1:4" ht="15" thickBot="1" x14ac:dyDescent="0.35">
      <c r="A12" s="174"/>
      <c r="B12" s="208"/>
      <c r="C12" s="208"/>
      <c r="D12" s="35"/>
    </row>
    <row r="13" spans="1:4" ht="15" thickBot="1" x14ac:dyDescent="0.35">
      <c r="A13" s="174"/>
      <c r="B13" s="208"/>
      <c r="C13" s="208"/>
      <c r="D13" s="35"/>
    </row>
    <row r="14" spans="1:4" ht="15" thickBot="1" x14ac:dyDescent="0.35">
      <c r="A14" s="129"/>
      <c r="B14" s="13"/>
      <c r="C14" s="13"/>
      <c r="D14" s="121"/>
    </row>
    <row r="15" spans="1:4" ht="15" thickTop="1" x14ac:dyDescent="0.3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7"/>
  <sheetViews>
    <sheetView showGridLines="0" zoomScaleNormal="100" zoomScaleSheetLayoutView="100" workbookViewId="0">
      <selection sqref="A1:E1"/>
    </sheetView>
  </sheetViews>
  <sheetFormatPr defaultRowHeight="14.4" x14ac:dyDescent="0.3"/>
  <cols>
    <col min="1" max="1" width="18.5546875" customWidth="1"/>
    <col min="2" max="5" width="17" customWidth="1"/>
  </cols>
  <sheetData>
    <row r="1" spans="1:5" x14ac:dyDescent="0.3">
      <c r="A1" s="279" t="s">
        <v>824</v>
      </c>
      <c r="B1" s="279"/>
      <c r="C1" s="279"/>
      <c r="D1" s="279"/>
      <c r="E1" s="279"/>
    </row>
    <row r="2" spans="1:5" x14ac:dyDescent="0.3">
      <c r="A2" s="146"/>
      <c r="B2" s="146"/>
      <c r="C2" s="146"/>
      <c r="D2" s="146"/>
      <c r="E2" s="146"/>
    </row>
    <row r="3" spans="1:5" ht="15" thickBot="1" x14ac:dyDescent="0.35">
      <c r="A3" s="146" t="s">
        <v>8</v>
      </c>
      <c r="B3" s="146"/>
      <c r="C3" s="146"/>
      <c r="D3" s="146"/>
      <c r="E3" s="146"/>
    </row>
    <row r="4" spans="1:5" ht="24" customHeight="1" thickTop="1" thickBot="1" x14ac:dyDescent="0.35">
      <c r="A4" s="273" t="s">
        <v>592</v>
      </c>
      <c r="B4" s="257" t="s">
        <v>137</v>
      </c>
      <c r="C4" s="259"/>
      <c r="D4" s="257" t="s">
        <v>860</v>
      </c>
      <c r="E4" s="259"/>
    </row>
    <row r="5" spans="1:5" ht="15.6" thickTop="1" thickBot="1" x14ac:dyDescent="0.35">
      <c r="A5" s="274"/>
      <c r="B5" s="257" t="s">
        <v>474</v>
      </c>
      <c r="C5" s="259"/>
      <c r="D5" s="257" t="s">
        <v>474</v>
      </c>
      <c r="E5" s="259"/>
    </row>
    <row r="6" spans="1:5" ht="21.6" thickTop="1" thickBot="1" x14ac:dyDescent="0.35">
      <c r="A6" s="275"/>
      <c r="B6" s="184" t="s">
        <v>508</v>
      </c>
      <c r="C6" s="184" t="s">
        <v>192</v>
      </c>
      <c r="D6" s="184" t="s">
        <v>508</v>
      </c>
      <c r="E6" s="184" t="s">
        <v>192</v>
      </c>
    </row>
    <row r="7" spans="1:5" ht="21.6" thickTop="1" thickBot="1" x14ac:dyDescent="0.35">
      <c r="A7" s="129" t="s">
        <v>1121</v>
      </c>
      <c r="B7" s="14"/>
      <c r="C7" s="14"/>
      <c r="D7" s="122"/>
      <c r="E7" s="122"/>
    </row>
    <row r="8" spans="1:5" ht="15.6" thickTop="1" thickBot="1" x14ac:dyDescent="0.35">
      <c r="A8" s="174"/>
      <c r="B8" s="208"/>
      <c r="C8" s="208"/>
      <c r="D8" s="35"/>
      <c r="E8" s="35"/>
    </row>
    <row r="9" spans="1:5" ht="15" thickBot="1" x14ac:dyDescent="0.35">
      <c r="A9" s="174"/>
      <c r="B9" s="208"/>
      <c r="C9" s="208"/>
      <c r="D9" s="35"/>
      <c r="E9" s="35"/>
    </row>
    <row r="10" spans="1:5" ht="15" thickBot="1" x14ac:dyDescent="0.35">
      <c r="A10" s="174"/>
      <c r="B10" s="208"/>
      <c r="C10" s="208"/>
      <c r="D10" s="35"/>
      <c r="E10" s="35"/>
    </row>
    <row r="11" spans="1:5" ht="15" thickBot="1" x14ac:dyDescent="0.35">
      <c r="A11" s="37"/>
      <c r="B11" s="13"/>
      <c r="C11" s="45"/>
      <c r="D11" s="121"/>
      <c r="E11" s="121"/>
    </row>
    <row r="12" spans="1:5" ht="21.6" thickTop="1" thickBot="1" x14ac:dyDescent="0.35">
      <c r="A12" s="129" t="s">
        <v>54</v>
      </c>
      <c r="B12" s="13"/>
      <c r="C12" s="167"/>
      <c r="D12" s="121"/>
      <c r="E12" s="121"/>
    </row>
    <row r="13" spans="1:5" ht="15.6" thickTop="1" thickBot="1" x14ac:dyDescent="0.35">
      <c r="A13" s="174"/>
      <c r="B13" s="208"/>
      <c r="C13" s="208"/>
      <c r="D13" s="35"/>
      <c r="E13" s="35"/>
    </row>
    <row r="14" spans="1:5" ht="15" thickBot="1" x14ac:dyDescent="0.35">
      <c r="A14" s="174"/>
      <c r="B14" s="208"/>
      <c r="C14" s="208"/>
      <c r="D14" s="35"/>
      <c r="E14" s="35"/>
    </row>
    <row r="15" spans="1:5" ht="15" thickBot="1" x14ac:dyDescent="0.35">
      <c r="A15" s="174"/>
      <c r="B15" s="208"/>
      <c r="C15" s="208"/>
      <c r="D15" s="35"/>
      <c r="E15" s="35"/>
    </row>
    <row r="16" spans="1:5" ht="15" thickBot="1" x14ac:dyDescent="0.35">
      <c r="A16" s="129"/>
      <c r="B16" s="13"/>
      <c r="C16" s="13"/>
      <c r="D16" s="121"/>
      <c r="E16" s="121"/>
    </row>
    <row r="17" ht="15" thickTop="1" x14ac:dyDescent="0.3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zoomScaleSheetLayoutView="100" workbookViewId="0"/>
  </sheetViews>
  <sheetFormatPr defaultRowHeight="14.4" x14ac:dyDescent="0.3"/>
  <cols>
    <col min="1" max="1" width="31.6640625" customWidth="1"/>
    <col min="2" max="3" width="27.33203125" customWidth="1"/>
    <col min="4" max="4" width="21.88671875" customWidth="1"/>
    <col min="5" max="5" width="19.5546875" customWidth="1"/>
  </cols>
  <sheetData>
    <row r="1" spans="1:3" ht="15" thickBot="1" x14ac:dyDescent="0.35">
      <c r="A1" s="44" t="s">
        <v>781</v>
      </c>
    </row>
    <row r="2" spans="1:3" ht="15.6" thickTop="1" thickBot="1" x14ac:dyDescent="0.35">
      <c r="A2" s="273" t="s">
        <v>1005</v>
      </c>
      <c r="B2" s="257" t="s">
        <v>1220</v>
      </c>
      <c r="C2" s="259"/>
    </row>
    <row r="3" spans="1:3" ht="21.6" thickTop="1" thickBot="1" x14ac:dyDescent="0.35">
      <c r="A3" s="275"/>
      <c r="B3" s="47" t="s">
        <v>137</v>
      </c>
      <c r="C3" s="47" t="s">
        <v>860</v>
      </c>
    </row>
    <row r="4" spans="1:3" ht="20.25" customHeight="1" thickTop="1" thickBot="1" x14ac:dyDescent="0.35">
      <c r="A4" s="174" t="s">
        <v>373</v>
      </c>
      <c r="B4" s="208"/>
      <c r="C4" s="35"/>
    </row>
    <row r="5" spans="1:3" ht="20.25" customHeight="1" thickBot="1" x14ac:dyDescent="0.35">
      <c r="A5" s="174" t="s">
        <v>1295</v>
      </c>
      <c r="B5" s="208"/>
      <c r="C5" s="35"/>
    </row>
    <row r="6" spans="1:3" ht="26.25" customHeight="1" thickBot="1" x14ac:dyDescent="0.35">
      <c r="A6" s="174" t="s">
        <v>436</v>
      </c>
      <c r="B6" s="208"/>
      <c r="C6" s="35"/>
    </row>
    <row r="7" spans="1:3" ht="24.75" customHeight="1" thickBot="1" x14ac:dyDescent="0.35">
      <c r="A7" s="174" t="s">
        <v>821</v>
      </c>
      <c r="B7" s="208"/>
      <c r="C7" s="35"/>
    </row>
    <row r="8" spans="1:3" ht="20.25" customHeight="1" thickBot="1" x14ac:dyDescent="0.35">
      <c r="A8" s="129" t="s">
        <v>1027</v>
      </c>
      <c r="B8" s="13">
        <f>SUM(B4:B7)</f>
        <v>0</v>
      </c>
      <c r="C8" s="121">
        <f>SUM(C4:C7)</f>
        <v>0</v>
      </c>
    </row>
    <row r="9" spans="1:3" ht="1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"/>
  <sheetViews>
    <sheetView showGridLines="0" zoomScaleNormal="100" zoomScaleSheetLayoutView="100" workbookViewId="0"/>
  </sheetViews>
  <sheetFormatPr defaultRowHeight="14.4" x14ac:dyDescent="0.3"/>
  <cols>
    <col min="1" max="1" width="18.88671875" customWidth="1"/>
    <col min="2" max="7" width="11.33203125" customWidth="1"/>
  </cols>
  <sheetData>
    <row r="1" spans="1:7" ht="15" thickBot="1" x14ac:dyDescent="0.35">
      <c r="A1" s="44" t="s">
        <v>600</v>
      </c>
    </row>
    <row r="2" spans="1:7" ht="30.75" customHeight="1" thickTop="1" thickBot="1" x14ac:dyDescent="0.35">
      <c r="A2" s="273" t="s">
        <v>147</v>
      </c>
      <c r="B2" s="276" t="s">
        <v>137</v>
      </c>
      <c r="C2" s="277"/>
      <c r="D2" s="278"/>
      <c r="E2" s="257" t="s">
        <v>860</v>
      </c>
      <c r="F2" s="258"/>
      <c r="G2" s="259"/>
    </row>
    <row r="3" spans="1:7" ht="15.6" thickTop="1" thickBot="1" x14ac:dyDescent="0.35">
      <c r="A3" s="274"/>
      <c r="B3" s="276" t="s">
        <v>613</v>
      </c>
      <c r="C3" s="277"/>
      <c r="D3" s="278"/>
      <c r="E3" s="276" t="s">
        <v>613</v>
      </c>
      <c r="F3" s="277"/>
      <c r="G3" s="278"/>
    </row>
    <row r="4" spans="1:7" ht="31.8" thickTop="1" thickBot="1" x14ac:dyDescent="0.35">
      <c r="A4" s="275"/>
      <c r="B4" s="184" t="s">
        <v>676</v>
      </c>
      <c r="C4" s="184" t="s">
        <v>1331</v>
      </c>
      <c r="D4" s="184" t="s">
        <v>281</v>
      </c>
      <c r="E4" s="184" t="s">
        <v>676</v>
      </c>
      <c r="F4" s="184" t="s">
        <v>1331</v>
      </c>
      <c r="G4" s="184" t="s">
        <v>281</v>
      </c>
    </row>
    <row r="5" spans="1:7" ht="15.6" thickTop="1" thickBot="1" x14ac:dyDescent="0.35">
      <c r="A5" s="27" t="s">
        <v>1222</v>
      </c>
      <c r="B5" s="182"/>
      <c r="C5" s="182"/>
      <c r="D5" s="182"/>
      <c r="E5" s="182"/>
      <c r="F5" s="182"/>
      <c r="G5" s="133"/>
    </row>
    <row r="6" spans="1:7" ht="15" thickBot="1" x14ac:dyDescent="0.35">
      <c r="A6" s="17" t="s">
        <v>569</v>
      </c>
      <c r="B6" s="208"/>
      <c r="C6" s="208"/>
      <c r="D6" s="208"/>
      <c r="E6" s="208"/>
      <c r="F6" s="208"/>
      <c r="G6" s="35"/>
    </row>
    <row r="7" spans="1:7" ht="15" thickBot="1" x14ac:dyDescent="0.35">
      <c r="A7" s="36" t="s">
        <v>1027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" thickTop="1" x14ac:dyDescent="0.3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zoomScaleSheetLayoutView="100" workbookViewId="0"/>
  </sheetViews>
  <sheetFormatPr defaultRowHeight="14.4" x14ac:dyDescent="0.3"/>
  <cols>
    <col min="1" max="1" width="24.5546875" customWidth="1"/>
    <col min="2" max="6" width="12.33203125" customWidth="1"/>
    <col min="7" max="7" width="13" customWidth="1"/>
  </cols>
  <sheetData>
    <row r="1" spans="1:10" ht="15" thickBot="1" x14ac:dyDescent="0.35">
      <c r="A1" s="44" t="s">
        <v>290</v>
      </c>
    </row>
    <row r="2" spans="1:10" ht="33" customHeight="1" thickTop="1" thickBot="1" x14ac:dyDescent="0.35">
      <c r="A2" s="273" t="s">
        <v>592</v>
      </c>
      <c r="B2" s="47" t="s">
        <v>137</v>
      </c>
      <c r="C2" s="257" t="s">
        <v>860</v>
      </c>
      <c r="D2" s="259"/>
      <c r="E2" s="257" t="s">
        <v>749</v>
      </c>
      <c r="F2" s="259"/>
    </row>
    <row r="3" spans="1:10" ht="45" customHeight="1" thickTop="1" thickBot="1" x14ac:dyDescent="0.35">
      <c r="A3" s="275"/>
      <c r="B3" s="184" t="s">
        <v>1130</v>
      </c>
      <c r="C3" s="184" t="s">
        <v>1130</v>
      </c>
      <c r="D3" s="184" t="s">
        <v>825</v>
      </c>
      <c r="E3" s="184" t="s">
        <v>137</v>
      </c>
      <c r="F3" s="184" t="s">
        <v>198</v>
      </c>
    </row>
    <row r="4" spans="1:10" ht="21.6" thickTop="1" thickBot="1" x14ac:dyDescent="0.35">
      <c r="A4" s="59" t="s">
        <v>1291</v>
      </c>
      <c r="B4" s="238">
        <f>SUMIF(HK!A:A,"121*",HK!K:K)-SUMIF(HK!A:A,"121*",HK!L:L)+SUMIF(HK!A:A,"122*",HK!K:K)-SUMIF(HK!A:A,"122*",HK!L:L)</f>
        <v>614271</v>
      </c>
      <c r="C4" s="238">
        <f>SUMIF(HKM!A:A,"121*",HKM!K:K)-SUMIF(HKM!A:A,"121*",HKM!L:L)+SUMIF(HKM!A:A,"122*",HKM!K:K)-SUMIF(HKM!A:A,"122*",HKM!L:L)</f>
        <v>0</v>
      </c>
      <c r="D4" s="238">
        <f>SUMIF(HKM!A:A,"121*",HKM!C:C)-SUMIF(HKM!A:A,"121*",HKM!D:D)+SUMIF(HKM!A:A,"122*",HKM!C:C)-SUMIF(HKM!A:A,"122*",HKM!D:D)</f>
        <v>0</v>
      </c>
      <c r="E4" s="238">
        <f>SUMIF(HK!A:A,"611*",HK!L:L)-SUMIF(HK!A:A,"611*",HK!K:K)+SUMIF(HK!A:A,"612*",HK!L:L)-SUMIF(HK!A:A,"611*",HK!K:K)</f>
        <v>614271</v>
      </c>
      <c r="F4" s="238">
        <f>SUMIF(HKM!A:A,"611*",HKM!L:L)-SUMIF(HKM!A:A,"611*",HKM!K:K)+SUMIF(HKM!A:A,"612*",HKM!L:L)-SUMIF(HKM!A:A,"612*",HKM!K:K)</f>
        <v>0</v>
      </c>
      <c r="G4" s="222"/>
      <c r="H4" s="24"/>
      <c r="I4" s="222"/>
      <c r="J4" s="222"/>
    </row>
    <row r="5" spans="1:10" ht="15" thickBot="1" x14ac:dyDescent="0.35">
      <c r="A5" s="243" t="s">
        <v>51</v>
      </c>
      <c r="B5" s="238">
        <f>SUMIF(HK!A:A,"123*",HK!K:K)-SUMIF(HK!A:A,"123*",HK!L:L)</f>
        <v>0</v>
      </c>
      <c r="C5" s="238">
        <f>SUMIF(HKM!A:A,"123*",HKM!K:K)-SUMIF(HKM!A:A,"123*",HKM!L:L)</f>
        <v>0</v>
      </c>
      <c r="D5" s="238">
        <f>SUMIF(HKM!A:A,"123*",HKM!C:C)</f>
        <v>0</v>
      </c>
      <c r="E5" s="238">
        <f>SUMIF(HK!A:A,"613*",HK!L:L)-SUMIF(HK!A:A,"613*",HK!K:K)</f>
        <v>0</v>
      </c>
      <c r="F5" s="238">
        <f>SUMIF(HKM!A:A,"613*",HKM!L:L)-SUMIF(HKM!A:A,"613*",HKM!K:K)</f>
        <v>0</v>
      </c>
      <c r="G5" s="222"/>
      <c r="H5" s="24"/>
      <c r="I5" s="222"/>
      <c r="J5" s="222"/>
    </row>
    <row r="6" spans="1:10" ht="15" thickBot="1" x14ac:dyDescent="0.35">
      <c r="A6" s="174" t="s">
        <v>1104</v>
      </c>
      <c r="B6" s="238">
        <f>SUMIF(HK!A:A,"124*",HK!K:K)-SUMIF(HK!A:A,"124*",HK!L:L)</f>
        <v>0</v>
      </c>
      <c r="C6" s="238">
        <f>SUMIF(HKM!A:A,"124*",HKM!K:K)-SUMIF(HKM!A:A,"124*",HKM!L:L)</f>
        <v>0</v>
      </c>
      <c r="D6" s="238">
        <f>SUMIF(HKM!A:A,"124*",HKM!C:C)-SUMIF(HKM!A:A,"124*",HKM!D:D)</f>
        <v>0</v>
      </c>
      <c r="E6" s="238">
        <f>SUMIF(HK!A:A,"614*",HK!L:L)-SUMIF(HK!A:A,"614*",HK!K:K)</f>
        <v>0</v>
      </c>
      <c r="F6" s="238">
        <f>SUMIF(HKM!A:A,"614*",HKM!L:L)-SUMIF(HKM!A:A,"614*",HKM!K:K)</f>
        <v>0</v>
      </c>
      <c r="G6" s="222"/>
      <c r="H6" s="24"/>
      <c r="I6" s="222"/>
      <c r="J6" s="222"/>
    </row>
    <row r="7" spans="1:10" ht="19.5" customHeight="1" thickBot="1" x14ac:dyDescent="0.35">
      <c r="A7" s="174" t="s">
        <v>1027</v>
      </c>
      <c r="B7" s="33"/>
      <c r="C7" s="33"/>
      <c r="D7" s="205"/>
      <c r="E7" s="237"/>
      <c r="F7" s="237"/>
      <c r="G7" s="222"/>
      <c r="H7" s="148"/>
      <c r="I7" s="222"/>
      <c r="J7" s="222"/>
    </row>
    <row r="8" spans="1:10" ht="15" thickBot="1" x14ac:dyDescent="0.35">
      <c r="A8" s="174" t="s">
        <v>267</v>
      </c>
      <c r="B8" s="151" t="s">
        <v>81</v>
      </c>
      <c r="C8" s="151" t="s">
        <v>81</v>
      </c>
      <c r="D8" s="66" t="s">
        <v>81</v>
      </c>
      <c r="E8" s="238">
        <f>SUMIF(HK!A:A,"549*",HK!K:K)-SUMIF(HK!A:A,"549*",HK!L:L)</f>
        <v>0</v>
      </c>
      <c r="F8" s="238">
        <f>SUMIF(HKM!A:A,"549*",HKM!K:K)-SUMIF(HKM!A:A,"549*",HKM!L:L)</f>
        <v>0</v>
      </c>
      <c r="G8" s="222"/>
      <c r="H8" s="24"/>
      <c r="I8" s="222"/>
      <c r="J8" s="222"/>
    </row>
    <row r="9" spans="1:10" ht="15" thickBot="1" x14ac:dyDescent="0.35">
      <c r="A9" s="174" t="s">
        <v>949</v>
      </c>
      <c r="B9" s="151" t="s">
        <v>81</v>
      </c>
      <c r="C9" s="151" t="s">
        <v>81</v>
      </c>
      <c r="D9" s="66" t="s">
        <v>81</v>
      </c>
      <c r="E9" s="238">
        <f>SUMIF(HK!A:A,"513*",HK!K:K)-SUMIF(HK!A:A,"513*",HK!L:L)</f>
        <v>3755.56</v>
      </c>
      <c r="F9" s="238">
        <f>SUMIF(HKM!A:A,"513*",HKM!K:K)-SUMIF(HKM!A:A,"513*",HKM!L:L)</f>
        <v>2462.71</v>
      </c>
      <c r="G9" s="222"/>
      <c r="H9" s="24"/>
      <c r="I9" s="222"/>
      <c r="J9" s="222"/>
    </row>
    <row r="10" spans="1:10" ht="15" thickBot="1" x14ac:dyDescent="0.35">
      <c r="A10" s="174" t="s">
        <v>864</v>
      </c>
      <c r="B10" s="151" t="s">
        <v>81</v>
      </c>
      <c r="C10" s="151" t="s">
        <v>81</v>
      </c>
      <c r="D10" s="66" t="s">
        <v>81</v>
      </c>
      <c r="E10" s="238">
        <f>SUMIF(HK!A:A,"543*",HK!K:K)-SUMIF(HK!A:A,"543*",HK!L:L)</f>
        <v>0</v>
      </c>
      <c r="F10" s="238">
        <f>SUMIF(HKM!A:A,"543*",HKM!K:K)-SUMIF(HKM!A:A,"543*",HKM!L:L)</f>
        <v>2000</v>
      </c>
      <c r="G10" s="222"/>
      <c r="H10" s="24"/>
      <c r="I10" s="222"/>
      <c r="J10" s="222"/>
    </row>
    <row r="11" spans="1:10" ht="19.5" customHeight="1" thickBot="1" x14ac:dyDescent="0.35">
      <c r="A11" s="37" t="s">
        <v>797</v>
      </c>
      <c r="B11" s="96" t="s">
        <v>81</v>
      </c>
      <c r="C11" s="96" t="s">
        <v>81</v>
      </c>
      <c r="D11" s="240" t="s">
        <v>81</v>
      </c>
      <c r="E11" s="65"/>
      <c r="F11" s="65"/>
      <c r="G11" s="222"/>
      <c r="H11" s="148"/>
      <c r="I11" s="222"/>
      <c r="J11" s="222"/>
    </row>
    <row r="12" spans="1:10" ht="31.8" thickTop="1" thickBot="1" x14ac:dyDescent="0.35">
      <c r="A12" s="129" t="s">
        <v>746</v>
      </c>
      <c r="B12" s="96" t="s">
        <v>81</v>
      </c>
      <c r="C12" s="96" t="s">
        <v>81</v>
      </c>
      <c r="D12" s="240" t="s">
        <v>81</v>
      </c>
      <c r="E12" s="75">
        <f>SUMIF(VZaS!C:C,"006",VZaS!D:D)</f>
        <v>614271</v>
      </c>
      <c r="F12" s="75">
        <f>SUMIF(VZaS!C:C,"006",VZaS!E:E)</f>
        <v>0</v>
      </c>
      <c r="G12" s="222"/>
      <c r="H12" s="194"/>
      <c r="I12" s="222"/>
      <c r="J12" s="222"/>
    </row>
    <row r="13" spans="1:10" ht="15" thickTop="1" x14ac:dyDescent="0.3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9"/>
  <sheetViews>
    <sheetView showGridLines="0" zoomScaleNormal="100" zoomScaleSheetLayoutView="100" workbookViewId="0"/>
  </sheetViews>
  <sheetFormatPr defaultRowHeight="14.4" x14ac:dyDescent="0.3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</cols>
  <sheetData>
    <row r="1" spans="1:5" ht="15" thickBot="1" x14ac:dyDescent="0.35">
      <c r="A1" s="44" t="s">
        <v>725</v>
      </c>
      <c r="D1" s="222"/>
      <c r="E1" s="222"/>
    </row>
    <row r="2" spans="1:5" ht="21.6" thickTop="1" thickBot="1" x14ac:dyDescent="0.35">
      <c r="A2" s="211" t="s">
        <v>592</v>
      </c>
      <c r="B2" s="47" t="s">
        <v>137</v>
      </c>
      <c r="C2" s="47" t="s">
        <v>860</v>
      </c>
      <c r="D2" s="222"/>
      <c r="E2" s="222"/>
    </row>
    <row r="3" spans="1:5" ht="30.75" customHeight="1" thickTop="1" thickBot="1" x14ac:dyDescent="0.35">
      <c r="A3" s="18" t="s">
        <v>1054</v>
      </c>
      <c r="B3" s="75"/>
      <c r="C3" s="75"/>
    </row>
    <row r="4" spans="1:5" ht="21" thickBot="1" x14ac:dyDescent="0.35">
      <c r="A4" s="174" t="s">
        <v>846</v>
      </c>
      <c r="B4" s="237"/>
      <c r="C4" s="237"/>
    </row>
    <row r="5" spans="1:5" ht="15" thickBot="1" x14ac:dyDescent="0.35">
      <c r="A5" s="174" t="s">
        <v>789</v>
      </c>
      <c r="B5" s="237"/>
      <c r="C5" s="237"/>
    </row>
    <row r="6" spans="1:5" ht="15" thickBot="1" x14ac:dyDescent="0.35">
      <c r="A6" s="174" t="s">
        <v>1199</v>
      </c>
      <c r="B6" s="237"/>
      <c r="C6" s="237"/>
    </row>
    <row r="7" spans="1:5" ht="15" thickBot="1" x14ac:dyDescent="0.35">
      <c r="A7" s="174" t="s">
        <v>501</v>
      </c>
      <c r="B7" s="237"/>
      <c r="C7" s="237"/>
    </row>
    <row r="8" spans="1:5" ht="15" thickBot="1" x14ac:dyDescent="0.35">
      <c r="A8" s="37" t="s">
        <v>642</v>
      </c>
      <c r="B8" s="65"/>
      <c r="C8" s="65"/>
    </row>
    <row r="9" spans="1:5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zoomScaleSheetLayoutView="100" workbookViewId="0"/>
  </sheetViews>
  <sheetFormatPr defaultRowHeight="14.4" x14ac:dyDescent="0.3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</cols>
  <sheetData>
    <row r="1" spans="1:7" ht="15" thickBot="1" x14ac:dyDescent="0.35">
      <c r="A1" s="44" t="s">
        <v>655</v>
      </c>
    </row>
    <row r="2" spans="1:7" ht="26.25" customHeight="1" thickTop="1" thickBot="1" x14ac:dyDescent="0.35">
      <c r="A2" s="211" t="s">
        <v>592</v>
      </c>
      <c r="B2" s="47" t="s">
        <v>137</v>
      </c>
      <c r="C2" s="47" t="s">
        <v>860</v>
      </c>
    </row>
    <row r="3" spans="1:7" ht="18.75" customHeight="1" thickTop="1" thickBot="1" x14ac:dyDescent="0.35">
      <c r="A3" s="17" t="s">
        <v>1131</v>
      </c>
      <c r="B3" s="75">
        <f>SUMIF(HK!A:A,"601*",HK!L:L)-SUMIF(HK!A:A,"601*",HK!K:K)</f>
        <v>261668.08</v>
      </c>
      <c r="C3" s="75">
        <f>SUMIF(HKM!A:A,"601*",HKM!L:L)-SUMIF(HKM!A:A,"601*",HKM!K:K)</f>
        <v>0</v>
      </c>
      <c r="D3" s="222"/>
      <c r="E3" s="189"/>
      <c r="G3" s="42"/>
    </row>
    <row r="4" spans="1:7" ht="18.75" customHeight="1" thickBot="1" x14ac:dyDescent="0.35">
      <c r="A4" s="17" t="s">
        <v>120</v>
      </c>
      <c r="B4" s="75">
        <f>SUMIF(HK!A:A,"602*",HK!L:L)-SUMIF(HK!A:A,"602*",HK!K:K)</f>
        <v>15970845.630000001</v>
      </c>
      <c r="C4" s="75">
        <f>SUMIF(HKM!A:A,"602*",HKM!L:L)-SUMIF(HKM!A:A,"602*",HKM!K:K)</f>
        <v>10331280.539999999</v>
      </c>
      <c r="D4" s="222"/>
      <c r="E4" s="189"/>
      <c r="G4" s="42"/>
    </row>
    <row r="5" spans="1:7" ht="18.75" customHeight="1" thickBot="1" x14ac:dyDescent="0.35">
      <c r="A5" s="17" t="s">
        <v>1101</v>
      </c>
      <c r="B5" s="75">
        <f>SUMIF(HK!A:A,"604*",HK!L:L)-SUMIF(HK!A:A,"604*",HK!K:K)</f>
        <v>0</v>
      </c>
      <c r="C5" s="75">
        <f>SUMIF(HKM!A:A,"604*",HKM!L:L)-SUMIF(HKM!A:A,"604*",HKM!K:K)</f>
        <v>2655022.5099999998</v>
      </c>
      <c r="D5" s="222"/>
      <c r="E5" s="189"/>
      <c r="G5" s="42"/>
    </row>
    <row r="6" spans="1:7" ht="18.75" customHeight="1" thickBot="1" x14ac:dyDescent="0.35">
      <c r="A6" s="17" t="s">
        <v>790</v>
      </c>
      <c r="B6" s="75">
        <f>SUMIF(HK!A:A,"606*",HK!L:L)-SUMIF(HK!A:A,"606*",HK!K:K)</f>
        <v>0</v>
      </c>
      <c r="C6" s="75">
        <f>SUMIF(HKM!A:A,"606*",HKM!L:L)-SUMIF(HKM!A:A,"606*",HKM!K:K)</f>
        <v>0</v>
      </c>
      <c r="D6" s="222"/>
      <c r="E6" s="189"/>
      <c r="G6" s="42"/>
    </row>
    <row r="7" spans="1:7" ht="18.75" customHeight="1" thickBot="1" x14ac:dyDescent="0.35">
      <c r="A7" s="17" t="s">
        <v>365</v>
      </c>
      <c r="B7" s="75"/>
      <c r="C7" s="75"/>
      <c r="D7" s="222"/>
      <c r="E7" s="189"/>
      <c r="G7" s="119"/>
    </row>
    <row r="8" spans="1:7" ht="15" thickBot="1" x14ac:dyDescent="0.35">
      <c r="A8" s="174" t="s">
        <v>1248</v>
      </c>
      <c r="B8" s="237"/>
      <c r="C8" s="237"/>
      <c r="D8" s="222"/>
      <c r="E8" s="222"/>
      <c r="G8" s="42"/>
    </row>
    <row r="9" spans="1:7" ht="18.75" customHeight="1" thickBot="1" x14ac:dyDescent="0.35">
      <c r="A9" s="36" t="s">
        <v>656</v>
      </c>
      <c r="B9" s="121">
        <f>SUM(B3:B8)</f>
        <v>16232513.710000001</v>
      </c>
      <c r="C9" s="121">
        <f>SUM(C3:C8)</f>
        <v>12986303.049999999</v>
      </c>
    </row>
    <row r="10" spans="1:7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zoomScaleSheetLayoutView="100" workbookViewId="0"/>
  </sheetViews>
  <sheetFormatPr defaultRowHeight="14.4" x14ac:dyDescent="0.3"/>
  <cols>
    <col min="1" max="2" width="43.33203125" customWidth="1"/>
    <col min="3" max="3" width="19.109375" customWidth="1"/>
  </cols>
  <sheetData>
    <row r="1" spans="1:2" ht="15" thickBot="1" x14ac:dyDescent="0.35">
      <c r="A1" s="44" t="s">
        <v>1252</v>
      </c>
    </row>
    <row r="2" spans="1:2" ht="21" customHeight="1" thickTop="1" thickBot="1" x14ac:dyDescent="0.35">
      <c r="A2" s="196" t="s">
        <v>114</v>
      </c>
      <c r="B2" s="32" t="s">
        <v>1004</v>
      </c>
    </row>
    <row r="3" spans="1:2" ht="32.25" customHeight="1" thickTop="1" thickBot="1" x14ac:dyDescent="0.35">
      <c r="A3" s="195" t="s">
        <v>1135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zoomScaleSheetLayoutView="100" workbookViewId="0"/>
  </sheetViews>
  <sheetFormatPr defaultRowHeight="14.4" x14ac:dyDescent="0.3"/>
  <cols>
    <col min="1" max="1" width="36.6640625" customWidth="1"/>
    <col min="2" max="2" width="26.44140625" customWidth="1"/>
    <col min="3" max="3" width="23.33203125" customWidth="1"/>
    <col min="4" max="4" width="17.44140625" customWidth="1"/>
    <col min="5" max="5" width="19.5546875" customWidth="1"/>
    <col min="6" max="6" width="19.33203125" customWidth="1"/>
    <col min="7" max="7" width="13" customWidth="1"/>
  </cols>
  <sheetData>
    <row r="1" spans="1:3" ht="15" thickBot="1" x14ac:dyDescent="0.35">
      <c r="A1" s="44" t="s">
        <v>70</v>
      </c>
    </row>
    <row r="2" spans="1:3" ht="21.6" thickTop="1" thickBot="1" x14ac:dyDescent="0.35">
      <c r="A2" s="211" t="s">
        <v>592</v>
      </c>
      <c r="B2" s="47" t="s">
        <v>137</v>
      </c>
      <c r="C2" s="47" t="s">
        <v>860</v>
      </c>
    </row>
    <row r="3" spans="1:3" ht="31.8" thickTop="1" thickBot="1" x14ac:dyDescent="0.35">
      <c r="A3" s="59" t="s">
        <v>243</v>
      </c>
      <c r="B3" s="128"/>
      <c r="C3" s="128"/>
    </row>
    <row r="4" spans="1:3" ht="31.2" thickBot="1" x14ac:dyDescent="0.35">
      <c r="A4" s="115" t="s">
        <v>1166</v>
      </c>
      <c r="B4" s="128"/>
      <c r="C4" s="128"/>
    </row>
    <row r="5" spans="1:3" ht="61.8" thickBot="1" x14ac:dyDescent="0.35">
      <c r="A5" s="243" t="s">
        <v>83</v>
      </c>
      <c r="B5" s="128"/>
      <c r="C5" s="128"/>
    </row>
    <row r="6" spans="1:3" ht="41.4" thickBot="1" x14ac:dyDescent="0.35">
      <c r="A6" s="174" t="s">
        <v>556</v>
      </c>
      <c r="B6" s="128"/>
      <c r="C6" s="128"/>
    </row>
    <row r="7" spans="1:3" ht="41.4" thickBot="1" x14ac:dyDescent="0.35">
      <c r="A7" s="59" t="s">
        <v>943</v>
      </c>
      <c r="B7" s="128"/>
      <c r="C7" s="128"/>
    </row>
    <row r="8" spans="1:3" ht="31.2" thickBot="1" x14ac:dyDescent="0.35">
      <c r="A8" s="86" t="s">
        <v>493</v>
      </c>
      <c r="B8" s="218"/>
      <c r="C8" s="218"/>
    </row>
    <row r="9" spans="1:3" ht="1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zoomScaleSheetLayoutView="100" workbookViewId="0"/>
  </sheetViews>
  <sheetFormatPr defaultRowHeight="14.4" x14ac:dyDescent="0.3"/>
  <cols>
    <col min="1" max="1" width="22.33203125" customWidth="1"/>
    <col min="2" max="2" width="10.6640625" customWidth="1"/>
    <col min="3" max="3" width="11.88671875" customWidth="1"/>
    <col min="4" max="5" width="10.6640625" customWidth="1"/>
    <col min="6" max="6" width="12.6640625" customWidth="1"/>
    <col min="7" max="7" width="10.6640625" customWidth="1"/>
  </cols>
  <sheetData>
    <row r="1" spans="1:10" ht="15" thickBot="1" x14ac:dyDescent="0.35">
      <c r="A1" s="44" t="s">
        <v>1108</v>
      </c>
    </row>
    <row r="2" spans="1:10" ht="35.25" customHeight="1" thickTop="1" thickBot="1" x14ac:dyDescent="0.35">
      <c r="A2" s="252" t="s">
        <v>592</v>
      </c>
      <c r="B2" s="257" t="s">
        <v>137</v>
      </c>
      <c r="C2" s="258"/>
      <c r="D2" s="259"/>
      <c r="E2" s="257" t="s">
        <v>860</v>
      </c>
      <c r="F2" s="258"/>
      <c r="G2" s="259"/>
    </row>
    <row r="3" spans="1:10" s="80" customFormat="1" ht="15.6" thickTop="1" thickBot="1" x14ac:dyDescent="0.35">
      <c r="A3" s="266"/>
      <c r="B3" s="184" t="s">
        <v>407</v>
      </c>
      <c r="C3" s="184" t="s">
        <v>374</v>
      </c>
      <c r="D3" s="184" t="s">
        <v>131</v>
      </c>
      <c r="E3" s="184" t="s">
        <v>407</v>
      </c>
      <c r="F3" s="184" t="s">
        <v>374</v>
      </c>
      <c r="G3" s="184" t="s">
        <v>131</v>
      </c>
    </row>
    <row r="4" spans="1:10" ht="21.6" thickTop="1" thickBot="1" x14ac:dyDescent="0.35">
      <c r="A4" s="174" t="s">
        <v>909</v>
      </c>
      <c r="B4" s="242">
        <f>SUMIF(VZaS!C:C,"056",VZaS!D:D)</f>
        <v>69848.2</v>
      </c>
      <c r="C4" s="21" t="s">
        <v>81</v>
      </c>
      <c r="D4" s="110" t="s">
        <v>81</v>
      </c>
      <c r="E4" s="242">
        <f>SUMIF(VZaS!C:C,"056",VZaS!E:E)</f>
        <v>17946.14</v>
      </c>
      <c r="F4" s="21" t="s">
        <v>81</v>
      </c>
      <c r="G4" s="110" t="s">
        <v>81</v>
      </c>
      <c r="H4" s="94"/>
      <c r="I4" s="94"/>
      <c r="J4" s="62"/>
    </row>
    <row r="5" spans="1:10" ht="20.25" customHeight="1" thickBot="1" x14ac:dyDescent="0.35">
      <c r="A5" s="174" t="s">
        <v>52</v>
      </c>
      <c r="B5" s="21" t="s">
        <v>81</v>
      </c>
      <c r="C5" s="140"/>
      <c r="D5" s="117"/>
      <c r="E5" s="21" t="s">
        <v>81</v>
      </c>
      <c r="F5" s="140"/>
      <c r="G5" s="117"/>
      <c r="H5" s="94"/>
      <c r="I5" s="94"/>
      <c r="J5" s="94"/>
    </row>
    <row r="6" spans="1:10" ht="20.25" customHeight="1" thickBot="1" x14ac:dyDescent="0.35">
      <c r="A6" s="174" t="s">
        <v>1255</v>
      </c>
      <c r="B6" s="140"/>
      <c r="C6" s="140"/>
      <c r="D6" s="117"/>
      <c r="E6" s="140"/>
      <c r="F6" s="140"/>
      <c r="G6" s="117"/>
      <c r="H6" s="94"/>
      <c r="I6" s="94"/>
      <c r="J6" s="94"/>
    </row>
    <row r="7" spans="1:10" ht="20.25" customHeight="1" thickBot="1" x14ac:dyDescent="0.35">
      <c r="A7" s="174" t="s">
        <v>175</v>
      </c>
      <c r="B7" s="140"/>
      <c r="C7" s="140"/>
      <c r="D7" s="117"/>
      <c r="E7" s="140"/>
      <c r="F7" s="140"/>
      <c r="G7" s="117"/>
      <c r="H7" s="94"/>
      <c r="I7" s="94"/>
      <c r="J7" s="94"/>
    </row>
    <row r="8" spans="1:10" ht="20.25" customHeight="1" thickBot="1" x14ac:dyDescent="0.35">
      <c r="A8" s="174" t="s">
        <v>1112</v>
      </c>
      <c r="B8" s="140"/>
      <c r="C8" s="140"/>
      <c r="D8" s="117"/>
      <c r="E8" s="140"/>
      <c r="F8" s="140"/>
      <c r="G8" s="117"/>
      <c r="H8" s="94"/>
      <c r="I8" s="94"/>
      <c r="J8" s="94"/>
    </row>
    <row r="9" spans="1:10" ht="20.25" customHeight="1" thickBot="1" x14ac:dyDescent="0.35">
      <c r="A9" s="174" t="s">
        <v>797</v>
      </c>
      <c r="B9" s="140"/>
      <c r="C9" s="140"/>
      <c r="D9" s="117"/>
      <c r="E9" s="140"/>
      <c r="F9" s="140"/>
      <c r="G9" s="117"/>
      <c r="H9" s="94"/>
      <c r="I9" s="94"/>
      <c r="J9" s="94"/>
    </row>
    <row r="10" spans="1:10" ht="20.25" customHeight="1" thickBot="1" x14ac:dyDescent="0.35">
      <c r="A10" s="174" t="s">
        <v>1027</v>
      </c>
      <c r="B10" s="140"/>
      <c r="C10" s="140"/>
      <c r="D10" s="117"/>
      <c r="E10" s="140"/>
      <c r="F10" s="140"/>
      <c r="G10" s="117"/>
      <c r="H10" s="94"/>
      <c r="I10" s="94"/>
      <c r="J10" s="94"/>
    </row>
    <row r="11" spans="1:10" ht="20.25" customHeight="1" thickBot="1" x14ac:dyDescent="0.35">
      <c r="A11" s="174" t="s">
        <v>979</v>
      </c>
      <c r="B11" s="21" t="s">
        <v>81</v>
      </c>
      <c r="C11" s="242">
        <f>SUMIF(VZaS!C:C,"058",VZaS!D:D)</f>
        <v>20971.41</v>
      </c>
      <c r="D11" s="117"/>
      <c r="E11" s="21" t="s">
        <v>81</v>
      </c>
      <c r="F11" s="242">
        <f>SUMIF(VZaS!C:C,"058",VZaS!E:E)</f>
        <v>13077.58</v>
      </c>
      <c r="G11" s="117"/>
      <c r="H11" s="94"/>
      <c r="I11" s="94"/>
      <c r="J11" s="94"/>
    </row>
    <row r="12" spans="1:10" ht="20.25" customHeight="1" thickBot="1" x14ac:dyDescent="0.35">
      <c r="A12" s="174" t="s">
        <v>53</v>
      </c>
      <c r="B12" s="21" t="s">
        <v>81</v>
      </c>
      <c r="C12" s="242">
        <f>SUMIF(VZaS!C:C,"059",VZaS!D:D)</f>
        <v>0</v>
      </c>
      <c r="D12" s="117"/>
      <c r="E12" s="21" t="s">
        <v>81</v>
      </c>
      <c r="F12" s="242">
        <f>SUMIF(VZaS!C:C,"059",VZaS!E:E)</f>
        <v>-3441</v>
      </c>
      <c r="G12" s="117"/>
      <c r="H12" s="94"/>
      <c r="I12" s="94"/>
      <c r="J12" s="94"/>
    </row>
    <row r="13" spans="1:10" ht="20.25" customHeight="1" thickBot="1" x14ac:dyDescent="0.35">
      <c r="A13" s="37" t="s">
        <v>1026</v>
      </c>
      <c r="B13" s="138" t="s">
        <v>81</v>
      </c>
      <c r="C13" s="13"/>
      <c r="D13" s="193"/>
      <c r="E13" s="138" t="s">
        <v>81</v>
      </c>
      <c r="F13" s="13"/>
      <c r="G13" s="193"/>
    </row>
    <row r="14" spans="1:10" ht="15" thickTop="1" x14ac:dyDescent="0.3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zoomScaleSheetLayoutView="100" workbookViewId="0"/>
  </sheetViews>
  <sheetFormatPr defaultRowHeight="14.4" x14ac:dyDescent="0.3"/>
  <cols>
    <col min="1" max="1" width="32" customWidth="1"/>
  </cols>
  <sheetData>
    <row r="1" spans="1:2" x14ac:dyDescent="0.3">
      <c r="A1" t="s">
        <v>845</v>
      </c>
      <c r="B1" t="s">
        <v>316</v>
      </c>
    </row>
    <row r="2" spans="1:2" x14ac:dyDescent="0.3">
      <c r="A2" t="s">
        <v>724</v>
      </c>
      <c r="B2" t="s">
        <v>127</v>
      </c>
    </row>
    <row r="3" spans="1:2" x14ac:dyDescent="0.3">
      <c r="A3" t="s">
        <v>760</v>
      </c>
      <c r="B3" t="s">
        <v>659</v>
      </c>
    </row>
    <row r="4" spans="1:2" x14ac:dyDescent="0.3">
      <c r="A4" t="s">
        <v>232</v>
      </c>
      <c r="B4" t="s">
        <v>659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63"/>
  <sheetViews>
    <sheetView topLeftCell="A46" zoomScaleNormal="100" zoomScaleSheetLayoutView="100" workbookViewId="0"/>
  </sheetViews>
  <sheetFormatPr defaultColWidth="9.109375" defaultRowHeight="14.4" x14ac:dyDescent="0.3"/>
  <cols>
    <col min="1" max="1" width="16.109375" style="58" customWidth="1"/>
    <col min="2" max="2" width="46.6640625" style="2" customWidth="1"/>
    <col min="3" max="4" width="15.33203125" style="236" customWidth="1"/>
    <col min="5" max="5" width="15.109375" style="236" customWidth="1"/>
    <col min="6" max="11" width="15.33203125" style="236" customWidth="1"/>
    <col min="12" max="12" width="14.88671875" style="236" customWidth="1"/>
    <col min="13" max="16384" width="9.109375" style="112"/>
  </cols>
  <sheetData>
    <row r="1" spans="1:12" ht="20.399999999999999" x14ac:dyDescent="0.3">
      <c r="A1" s="51" t="s">
        <v>448</v>
      </c>
      <c r="B1" s="11" t="s">
        <v>579</v>
      </c>
      <c r="C1" s="157" t="s">
        <v>802</v>
      </c>
      <c r="D1" s="157" t="s">
        <v>1002</v>
      </c>
      <c r="E1" s="157" t="s">
        <v>435</v>
      </c>
      <c r="F1" s="157" t="s">
        <v>765</v>
      </c>
      <c r="G1" s="157" t="s">
        <v>381</v>
      </c>
      <c r="H1" s="157" t="s">
        <v>700</v>
      </c>
      <c r="I1" s="157" t="s">
        <v>727</v>
      </c>
      <c r="J1" s="157" t="s">
        <v>702</v>
      </c>
      <c r="K1" s="157" t="s">
        <v>1046</v>
      </c>
      <c r="L1" s="157" t="s">
        <v>196</v>
      </c>
    </row>
    <row r="2" spans="1:12" x14ac:dyDescent="0.3">
      <c r="A2" s="221" t="s">
        <v>933</v>
      </c>
      <c r="B2" s="103" t="s">
        <v>732</v>
      </c>
      <c r="C2" s="144">
        <v>45419.8</v>
      </c>
      <c r="D2" s="144">
        <v>0</v>
      </c>
      <c r="E2" s="135">
        <v>0</v>
      </c>
      <c r="F2" s="135">
        <v>0</v>
      </c>
      <c r="G2" s="135">
        <v>0</v>
      </c>
      <c r="H2" s="135">
        <v>0</v>
      </c>
      <c r="I2" s="135">
        <v>0</v>
      </c>
      <c r="J2" s="135">
        <v>0</v>
      </c>
      <c r="K2" s="144">
        <v>45419.8</v>
      </c>
      <c r="L2" s="144">
        <v>0</v>
      </c>
    </row>
    <row r="3" spans="1:12" x14ac:dyDescent="0.3">
      <c r="A3" s="221" t="s">
        <v>973</v>
      </c>
      <c r="B3" s="103" t="s">
        <v>515</v>
      </c>
      <c r="C3" s="144">
        <v>1323885.77</v>
      </c>
      <c r="D3" s="144">
        <v>0</v>
      </c>
      <c r="E3" s="135">
        <v>0</v>
      </c>
      <c r="F3" s="135">
        <v>0</v>
      </c>
      <c r="G3" s="135">
        <v>0</v>
      </c>
      <c r="H3" s="135">
        <v>0</v>
      </c>
      <c r="I3" s="135">
        <v>0</v>
      </c>
      <c r="J3" s="135">
        <v>0</v>
      </c>
      <c r="K3" s="144">
        <v>1323885.77</v>
      </c>
      <c r="L3" s="144">
        <v>0</v>
      </c>
    </row>
    <row r="4" spans="1:12" x14ac:dyDescent="0.3">
      <c r="A4" s="221" t="s">
        <v>9</v>
      </c>
      <c r="B4" s="103" t="s">
        <v>282</v>
      </c>
      <c r="C4" s="144">
        <v>3505354.76</v>
      </c>
      <c r="D4" s="144">
        <v>0</v>
      </c>
      <c r="E4" s="144">
        <v>227067.45</v>
      </c>
      <c r="F4" s="135">
        <v>0</v>
      </c>
      <c r="G4" s="144">
        <v>197652.78</v>
      </c>
      <c r="H4" s="144">
        <v>83433</v>
      </c>
      <c r="I4" s="144">
        <v>424720.23</v>
      </c>
      <c r="J4" s="144">
        <v>83433</v>
      </c>
      <c r="K4" s="144">
        <v>3846641.99</v>
      </c>
      <c r="L4" s="144">
        <v>0</v>
      </c>
    </row>
    <row r="5" spans="1:12" x14ac:dyDescent="0.3">
      <c r="A5" s="221" t="s">
        <v>206</v>
      </c>
      <c r="B5" s="103" t="s">
        <v>37</v>
      </c>
      <c r="C5" s="144">
        <v>0</v>
      </c>
      <c r="D5" s="144">
        <v>0</v>
      </c>
      <c r="E5" s="144">
        <v>219991.67</v>
      </c>
      <c r="F5" s="135">
        <v>0</v>
      </c>
      <c r="G5" s="135">
        <v>0</v>
      </c>
      <c r="H5" s="135">
        <v>0</v>
      </c>
      <c r="I5" s="144">
        <v>219991.67</v>
      </c>
      <c r="J5" s="135">
        <v>0</v>
      </c>
      <c r="K5" s="144">
        <v>219991.67</v>
      </c>
      <c r="L5" s="144">
        <v>0</v>
      </c>
    </row>
    <row r="6" spans="1:12" x14ac:dyDescent="0.3">
      <c r="A6" s="221" t="s">
        <v>859</v>
      </c>
      <c r="B6" s="103" t="s">
        <v>1070</v>
      </c>
      <c r="C6" s="144">
        <v>99914.42</v>
      </c>
      <c r="D6" s="144">
        <v>0</v>
      </c>
      <c r="E6" s="135">
        <v>0</v>
      </c>
      <c r="F6" s="135">
        <v>0</v>
      </c>
      <c r="G6" s="135">
        <v>0</v>
      </c>
      <c r="H6" s="135">
        <v>0</v>
      </c>
      <c r="I6" s="135">
        <v>0</v>
      </c>
      <c r="J6" s="135">
        <v>0</v>
      </c>
      <c r="K6" s="144">
        <v>99914.42</v>
      </c>
      <c r="L6" s="144">
        <v>0</v>
      </c>
    </row>
    <row r="7" spans="1:12" x14ac:dyDescent="0.3">
      <c r="A7" s="221" t="s">
        <v>1040</v>
      </c>
      <c r="B7" s="103" t="s">
        <v>428</v>
      </c>
      <c r="C7" s="144">
        <v>69008.28</v>
      </c>
      <c r="D7" s="144">
        <v>0</v>
      </c>
      <c r="E7" s="144">
        <v>338274.35</v>
      </c>
      <c r="F7" s="144">
        <v>227067.45</v>
      </c>
      <c r="G7" s="144">
        <v>17392.599999999999</v>
      </c>
      <c r="H7" s="144">
        <v>197652.78</v>
      </c>
      <c r="I7" s="144">
        <v>355666.95</v>
      </c>
      <c r="J7" s="144">
        <v>424720.23</v>
      </c>
      <c r="K7" s="144">
        <v>0</v>
      </c>
      <c r="L7" s="144">
        <v>45</v>
      </c>
    </row>
    <row r="8" spans="1:12" x14ac:dyDescent="0.3">
      <c r="A8" s="221" t="s">
        <v>223</v>
      </c>
      <c r="B8" s="103" t="s">
        <v>1249</v>
      </c>
      <c r="C8" s="144">
        <v>192745.14</v>
      </c>
      <c r="D8" s="144">
        <v>0</v>
      </c>
      <c r="E8" s="144">
        <v>5657.32</v>
      </c>
      <c r="F8" s="135">
        <v>0</v>
      </c>
      <c r="G8" s="135">
        <v>0</v>
      </c>
      <c r="H8" s="135">
        <v>0</v>
      </c>
      <c r="I8" s="144">
        <v>5657.32</v>
      </c>
      <c r="J8" s="135">
        <v>0</v>
      </c>
      <c r="K8" s="144">
        <v>198402.46</v>
      </c>
      <c r="L8" s="144">
        <v>0</v>
      </c>
    </row>
    <row r="9" spans="1:12" x14ac:dyDescent="0.3">
      <c r="A9" s="221" t="s">
        <v>565</v>
      </c>
      <c r="B9" s="103" t="s">
        <v>157</v>
      </c>
      <c r="C9" s="144">
        <v>201909.71</v>
      </c>
      <c r="D9" s="144">
        <v>0</v>
      </c>
      <c r="E9" s="144">
        <v>1831.44</v>
      </c>
      <c r="F9" s="135">
        <v>0</v>
      </c>
      <c r="G9" s="135">
        <v>0</v>
      </c>
      <c r="H9" s="135">
        <v>0</v>
      </c>
      <c r="I9" s="144">
        <v>1831.44</v>
      </c>
      <c r="J9" s="135">
        <v>0</v>
      </c>
      <c r="K9" s="144">
        <v>203741.15</v>
      </c>
      <c r="L9" s="144">
        <v>0</v>
      </c>
    </row>
    <row r="10" spans="1:12" x14ac:dyDescent="0.3">
      <c r="A10" s="221" t="s">
        <v>1058</v>
      </c>
      <c r="B10" s="103" t="s">
        <v>1309</v>
      </c>
      <c r="C10" s="144">
        <v>42111.839999999997</v>
      </c>
      <c r="D10" s="144">
        <v>0</v>
      </c>
      <c r="E10" s="144">
        <v>12967.88</v>
      </c>
      <c r="F10" s="135">
        <v>0</v>
      </c>
      <c r="G10" s="135">
        <v>0</v>
      </c>
      <c r="H10" s="135">
        <v>0</v>
      </c>
      <c r="I10" s="144">
        <v>12967.88</v>
      </c>
      <c r="J10" s="135">
        <v>0</v>
      </c>
      <c r="K10" s="144">
        <v>55079.72</v>
      </c>
      <c r="L10" s="144">
        <v>0</v>
      </c>
    </row>
    <row r="11" spans="1:12" x14ac:dyDescent="0.3">
      <c r="A11" s="221" t="s">
        <v>828</v>
      </c>
      <c r="B11" s="103" t="s">
        <v>807</v>
      </c>
      <c r="C11" s="144">
        <v>0</v>
      </c>
      <c r="D11" s="144">
        <v>0</v>
      </c>
      <c r="E11" s="144">
        <v>60817.07</v>
      </c>
      <c r="F11" s="135">
        <v>0</v>
      </c>
      <c r="G11" s="135">
        <v>0</v>
      </c>
      <c r="H11" s="135">
        <v>0</v>
      </c>
      <c r="I11" s="144">
        <v>60817.07</v>
      </c>
      <c r="J11" s="135">
        <v>0</v>
      </c>
      <c r="K11" s="144">
        <v>60817.07</v>
      </c>
      <c r="L11" s="144">
        <v>0</v>
      </c>
    </row>
    <row r="12" spans="1:12" x14ac:dyDescent="0.3">
      <c r="A12" s="221" t="s">
        <v>1141</v>
      </c>
      <c r="B12" s="103" t="s">
        <v>37</v>
      </c>
      <c r="C12" s="144">
        <v>0</v>
      </c>
      <c r="D12" s="144">
        <v>0</v>
      </c>
      <c r="E12" s="144">
        <v>219991.67</v>
      </c>
      <c r="F12" s="144">
        <v>219991.67</v>
      </c>
      <c r="G12" s="135">
        <v>0</v>
      </c>
      <c r="H12" s="135">
        <v>0</v>
      </c>
      <c r="I12" s="144">
        <v>219991.67</v>
      </c>
      <c r="J12" s="144">
        <v>219991.67</v>
      </c>
      <c r="K12" s="144">
        <v>0</v>
      </c>
      <c r="L12" s="144">
        <v>0</v>
      </c>
    </row>
    <row r="13" spans="1:12" x14ac:dyDescent="0.3">
      <c r="A13" s="221" t="s">
        <v>203</v>
      </c>
      <c r="B13" s="103" t="s">
        <v>1320</v>
      </c>
      <c r="C13" s="144">
        <v>0</v>
      </c>
      <c r="D13" s="144">
        <v>23366.73</v>
      </c>
      <c r="E13" s="135">
        <v>0</v>
      </c>
      <c r="F13" s="144">
        <v>4878</v>
      </c>
      <c r="G13" s="135">
        <v>0</v>
      </c>
      <c r="H13" s="135">
        <v>0</v>
      </c>
      <c r="I13" s="135">
        <v>0</v>
      </c>
      <c r="J13" s="144">
        <v>4878</v>
      </c>
      <c r="K13" s="144">
        <v>0</v>
      </c>
      <c r="L13" s="144">
        <v>28244.73</v>
      </c>
    </row>
    <row r="14" spans="1:12" x14ac:dyDescent="0.3">
      <c r="A14" s="221" t="s">
        <v>1219</v>
      </c>
      <c r="B14" s="103" t="s">
        <v>487</v>
      </c>
      <c r="C14" s="144">
        <v>0</v>
      </c>
      <c r="D14" s="144">
        <v>722771</v>
      </c>
      <c r="E14" s="135">
        <v>0</v>
      </c>
      <c r="F14" s="144">
        <v>62811</v>
      </c>
      <c r="G14" s="135">
        <v>0</v>
      </c>
      <c r="H14" s="135">
        <v>0</v>
      </c>
      <c r="I14" s="135">
        <v>0</v>
      </c>
      <c r="J14" s="144">
        <v>62811</v>
      </c>
      <c r="K14" s="144">
        <v>0</v>
      </c>
      <c r="L14" s="144">
        <v>785582</v>
      </c>
    </row>
    <row r="15" spans="1:12" x14ac:dyDescent="0.3">
      <c r="A15" s="221" t="s">
        <v>132</v>
      </c>
      <c r="B15" s="103" t="s">
        <v>855</v>
      </c>
      <c r="C15" s="144">
        <v>0</v>
      </c>
      <c r="D15" s="144">
        <v>2886167.55</v>
      </c>
      <c r="E15" s="135">
        <v>0</v>
      </c>
      <c r="F15" s="144">
        <v>195903</v>
      </c>
      <c r="G15" s="144">
        <v>83433</v>
      </c>
      <c r="H15" s="144">
        <v>107962</v>
      </c>
      <c r="I15" s="144">
        <v>83433</v>
      </c>
      <c r="J15" s="144">
        <v>303865</v>
      </c>
      <c r="K15" s="144">
        <v>0</v>
      </c>
      <c r="L15" s="144">
        <v>3106599.55</v>
      </c>
    </row>
    <row r="16" spans="1:12" x14ac:dyDescent="0.3">
      <c r="A16" s="221" t="s">
        <v>1245</v>
      </c>
      <c r="B16" s="103" t="s">
        <v>923</v>
      </c>
      <c r="C16" s="144">
        <v>0</v>
      </c>
      <c r="D16" s="144">
        <v>0</v>
      </c>
      <c r="E16" s="144">
        <v>3588961.12</v>
      </c>
      <c r="F16" s="144">
        <v>3591717.76</v>
      </c>
      <c r="G16" s="144">
        <v>332803.76</v>
      </c>
      <c r="H16" s="144">
        <v>330047.12</v>
      </c>
      <c r="I16" s="144">
        <v>3921764.88</v>
      </c>
      <c r="J16" s="144">
        <v>3921764.88</v>
      </c>
      <c r="K16" s="144">
        <v>0</v>
      </c>
      <c r="L16" s="144">
        <v>0</v>
      </c>
    </row>
    <row r="17" spans="1:12" x14ac:dyDescent="0.3">
      <c r="A17" s="221" t="s">
        <v>1232</v>
      </c>
      <c r="B17" s="103" t="s">
        <v>1088</v>
      </c>
      <c r="C17" s="144">
        <v>192506.12</v>
      </c>
      <c r="D17" s="144">
        <v>0</v>
      </c>
      <c r="E17" s="144">
        <v>3591717.83</v>
      </c>
      <c r="F17" s="144">
        <v>3410360.95</v>
      </c>
      <c r="G17" s="144">
        <v>330047.12</v>
      </c>
      <c r="H17" s="144">
        <v>199702.67</v>
      </c>
      <c r="I17" s="144">
        <v>3921764.95</v>
      </c>
      <c r="J17" s="144">
        <v>3610063.62</v>
      </c>
      <c r="K17" s="144">
        <v>504207.45</v>
      </c>
      <c r="L17" s="144">
        <v>0</v>
      </c>
    </row>
    <row r="18" spans="1:12" x14ac:dyDescent="0.3">
      <c r="A18" s="221" t="s">
        <v>648</v>
      </c>
      <c r="B18" s="103" t="s">
        <v>97</v>
      </c>
      <c r="C18" s="144">
        <v>3199.5</v>
      </c>
      <c r="D18" s="144">
        <v>0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44">
        <v>3199.5</v>
      </c>
      <c r="L18" s="144">
        <v>0</v>
      </c>
    </row>
    <row r="19" spans="1:12" x14ac:dyDescent="0.3">
      <c r="A19" s="221" t="s">
        <v>1178</v>
      </c>
      <c r="B19" s="103" t="s">
        <v>1133</v>
      </c>
      <c r="C19" s="144">
        <v>0</v>
      </c>
      <c r="D19" s="144">
        <v>0</v>
      </c>
      <c r="E19" s="135">
        <v>0</v>
      </c>
      <c r="F19" s="135">
        <v>0</v>
      </c>
      <c r="G19" s="144">
        <v>614271</v>
      </c>
      <c r="H19" s="135">
        <v>0</v>
      </c>
      <c r="I19" s="144">
        <v>614271</v>
      </c>
      <c r="J19" s="135">
        <v>0</v>
      </c>
      <c r="K19" s="144">
        <v>614271</v>
      </c>
      <c r="L19" s="144">
        <v>0</v>
      </c>
    </row>
    <row r="20" spans="1:12" x14ac:dyDescent="0.3">
      <c r="A20" s="221" t="s">
        <v>994</v>
      </c>
      <c r="B20" s="103" t="s">
        <v>237</v>
      </c>
      <c r="C20" s="144">
        <v>334695.24</v>
      </c>
      <c r="D20" s="144">
        <v>0</v>
      </c>
      <c r="E20" s="144">
        <v>120659.52</v>
      </c>
      <c r="F20" s="144">
        <v>465951.29</v>
      </c>
      <c r="G20" s="144">
        <v>12288.94</v>
      </c>
      <c r="H20" s="144">
        <v>30870.74</v>
      </c>
      <c r="I20" s="144">
        <v>132948.46</v>
      </c>
      <c r="J20" s="144">
        <v>496822.03</v>
      </c>
      <c r="K20" s="144">
        <v>0</v>
      </c>
      <c r="L20" s="144">
        <v>29178.33</v>
      </c>
    </row>
    <row r="21" spans="1:12" x14ac:dyDescent="0.3">
      <c r="A21" s="221" t="s">
        <v>445</v>
      </c>
      <c r="B21" s="103" t="s">
        <v>20</v>
      </c>
      <c r="C21" s="144">
        <v>50111.38</v>
      </c>
      <c r="D21" s="144">
        <v>0</v>
      </c>
      <c r="E21" s="144">
        <v>57163.7</v>
      </c>
      <c r="F21" s="144">
        <v>3006.28</v>
      </c>
      <c r="G21" s="144">
        <v>22196.74</v>
      </c>
      <c r="H21" s="144">
        <v>1233.6400000000001</v>
      </c>
      <c r="I21" s="144">
        <v>79360.44</v>
      </c>
      <c r="J21" s="144">
        <v>4239.92</v>
      </c>
      <c r="K21" s="144">
        <v>125231.9</v>
      </c>
      <c r="L21" s="144">
        <v>0</v>
      </c>
    </row>
    <row r="22" spans="1:12" x14ac:dyDescent="0.3">
      <c r="A22" s="221" t="s">
        <v>517</v>
      </c>
      <c r="B22" s="103" t="s">
        <v>968</v>
      </c>
      <c r="C22" s="144">
        <v>164.46</v>
      </c>
      <c r="D22" s="144">
        <v>0</v>
      </c>
      <c r="E22" s="144">
        <v>219.28</v>
      </c>
      <c r="F22" s="144">
        <v>2830.21</v>
      </c>
      <c r="G22" s="135">
        <v>0</v>
      </c>
      <c r="H22" s="144">
        <v>115.75</v>
      </c>
      <c r="I22" s="144">
        <v>219.28</v>
      </c>
      <c r="J22" s="144">
        <v>2945.96</v>
      </c>
      <c r="K22" s="144">
        <v>0</v>
      </c>
      <c r="L22" s="144">
        <v>2562.2199999999998</v>
      </c>
    </row>
    <row r="23" spans="1:12" x14ac:dyDescent="0.3">
      <c r="A23" s="221" t="s">
        <v>143</v>
      </c>
      <c r="B23" s="103" t="s">
        <v>1066</v>
      </c>
      <c r="C23" s="144">
        <v>180.29</v>
      </c>
      <c r="D23" s="144">
        <v>0</v>
      </c>
      <c r="E23" s="144">
        <v>353.34</v>
      </c>
      <c r="F23" s="144">
        <v>363.94</v>
      </c>
      <c r="G23" s="135">
        <v>0</v>
      </c>
      <c r="H23" s="144">
        <v>179.11</v>
      </c>
      <c r="I23" s="144">
        <v>353.34</v>
      </c>
      <c r="J23" s="144">
        <v>543.04999999999995</v>
      </c>
      <c r="K23" s="144">
        <v>0</v>
      </c>
      <c r="L23" s="144">
        <v>9.42</v>
      </c>
    </row>
    <row r="24" spans="1:12" x14ac:dyDescent="0.3">
      <c r="A24" s="221" t="s">
        <v>492</v>
      </c>
      <c r="B24" s="103" t="s">
        <v>528</v>
      </c>
      <c r="C24" s="144">
        <v>0</v>
      </c>
      <c r="D24" s="144">
        <v>0</v>
      </c>
      <c r="E24" s="144">
        <v>10889</v>
      </c>
      <c r="F24" s="144">
        <v>13078</v>
      </c>
      <c r="G24" s="135">
        <v>0</v>
      </c>
      <c r="H24" s="135">
        <v>0</v>
      </c>
      <c r="I24" s="144">
        <v>10889</v>
      </c>
      <c r="J24" s="144">
        <v>13078</v>
      </c>
      <c r="K24" s="144">
        <v>0</v>
      </c>
      <c r="L24" s="144">
        <v>2189</v>
      </c>
    </row>
    <row r="25" spans="1:12" x14ac:dyDescent="0.3">
      <c r="A25" s="221" t="s">
        <v>384</v>
      </c>
      <c r="B25" s="103" t="s">
        <v>455</v>
      </c>
      <c r="C25" s="144">
        <v>1476.4</v>
      </c>
      <c r="D25" s="144">
        <v>0</v>
      </c>
      <c r="E25" s="144">
        <v>10628.5</v>
      </c>
      <c r="F25" s="135">
        <v>0</v>
      </c>
      <c r="G25" s="135">
        <v>0</v>
      </c>
      <c r="H25" s="135">
        <v>0</v>
      </c>
      <c r="I25" s="144">
        <v>10628.5</v>
      </c>
      <c r="J25" s="135">
        <v>0</v>
      </c>
      <c r="K25" s="144">
        <v>12104.9</v>
      </c>
      <c r="L25" s="144">
        <v>0</v>
      </c>
    </row>
    <row r="26" spans="1:12" x14ac:dyDescent="0.3">
      <c r="A26" s="221" t="s">
        <v>142</v>
      </c>
      <c r="B26" s="103" t="s">
        <v>991</v>
      </c>
      <c r="C26" s="144">
        <v>682376.09</v>
      </c>
      <c r="D26" s="144">
        <v>0</v>
      </c>
      <c r="E26" s="144">
        <v>5550881.3600000003</v>
      </c>
      <c r="F26" s="144">
        <v>5469371.21</v>
      </c>
      <c r="G26" s="144">
        <v>428732.6</v>
      </c>
      <c r="H26" s="144">
        <v>637645.12</v>
      </c>
      <c r="I26" s="144">
        <v>5979613.96</v>
      </c>
      <c r="J26" s="144">
        <v>6107016.3300000001</v>
      </c>
      <c r="K26" s="144">
        <v>554973.72</v>
      </c>
      <c r="L26" s="144">
        <v>0</v>
      </c>
    </row>
    <row r="27" spans="1:12" x14ac:dyDescent="0.3">
      <c r="A27" s="221" t="s">
        <v>761</v>
      </c>
      <c r="B27" s="103" t="s">
        <v>814</v>
      </c>
      <c r="C27" s="144">
        <v>233.57</v>
      </c>
      <c r="D27" s="144">
        <v>0</v>
      </c>
      <c r="E27" s="135">
        <v>0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44">
        <v>233.57</v>
      </c>
      <c r="L27" s="144">
        <v>0</v>
      </c>
    </row>
    <row r="28" spans="1:12" x14ac:dyDescent="0.3">
      <c r="A28" s="221" t="s">
        <v>617</v>
      </c>
      <c r="B28" s="103" t="s">
        <v>1303</v>
      </c>
      <c r="C28" s="144">
        <v>705304.34</v>
      </c>
      <c r="D28" s="144">
        <v>0</v>
      </c>
      <c r="E28" s="144">
        <v>12119727.26</v>
      </c>
      <c r="F28" s="144">
        <v>12582170.77</v>
      </c>
      <c r="G28" s="144">
        <v>2267444.4900000002</v>
      </c>
      <c r="H28" s="144">
        <v>2150655.2799999998</v>
      </c>
      <c r="I28" s="144">
        <v>14387171.75</v>
      </c>
      <c r="J28" s="144">
        <v>14732826.050000001</v>
      </c>
      <c r="K28" s="144">
        <v>359650.04</v>
      </c>
      <c r="L28" s="144">
        <v>0</v>
      </c>
    </row>
    <row r="29" spans="1:12" x14ac:dyDescent="0.3">
      <c r="A29" s="221" t="s">
        <v>628</v>
      </c>
      <c r="B29" s="103" t="s">
        <v>1160</v>
      </c>
      <c r="C29" s="144">
        <v>14681.88</v>
      </c>
      <c r="D29" s="144">
        <v>0</v>
      </c>
      <c r="E29" s="144">
        <v>1443.63</v>
      </c>
      <c r="F29" s="144">
        <v>5972.82</v>
      </c>
      <c r="G29" s="144">
        <v>288.33999999999997</v>
      </c>
      <c r="H29" s="144">
        <v>4.5199999999999996</v>
      </c>
      <c r="I29" s="144">
        <v>1731.97</v>
      </c>
      <c r="J29" s="144">
        <v>5977.34</v>
      </c>
      <c r="K29" s="144">
        <v>10436.51</v>
      </c>
      <c r="L29" s="144">
        <v>0</v>
      </c>
    </row>
    <row r="30" spans="1:12" x14ac:dyDescent="0.3">
      <c r="A30" s="221" t="s">
        <v>1233</v>
      </c>
      <c r="B30" s="103" t="s">
        <v>881</v>
      </c>
      <c r="C30" s="144">
        <v>0</v>
      </c>
      <c r="D30" s="144">
        <v>0</v>
      </c>
      <c r="E30" s="144">
        <v>4863.3599999999997</v>
      </c>
      <c r="F30" s="144">
        <v>4863.3599999999997</v>
      </c>
      <c r="G30" s="135">
        <v>0</v>
      </c>
      <c r="H30" s="135">
        <v>0</v>
      </c>
      <c r="I30" s="144">
        <v>4863.3599999999997</v>
      </c>
      <c r="J30" s="144">
        <v>4863.3599999999997</v>
      </c>
      <c r="K30" s="144">
        <v>0</v>
      </c>
      <c r="L30" s="144">
        <v>0</v>
      </c>
    </row>
    <row r="31" spans="1:12" x14ac:dyDescent="0.3">
      <c r="A31" s="221" t="s">
        <v>1212</v>
      </c>
      <c r="B31" s="103" t="s">
        <v>224</v>
      </c>
      <c r="C31" s="144">
        <v>40043.360000000001</v>
      </c>
      <c r="D31" s="144">
        <v>0</v>
      </c>
      <c r="E31" s="144">
        <v>1571738.78</v>
      </c>
      <c r="F31" s="144">
        <v>1157322.17</v>
      </c>
      <c r="G31" s="144">
        <v>70808.39</v>
      </c>
      <c r="H31" s="144">
        <v>428048.58</v>
      </c>
      <c r="I31" s="144">
        <v>1642547.17</v>
      </c>
      <c r="J31" s="144">
        <v>1585370.75</v>
      </c>
      <c r="K31" s="144">
        <v>97219.78</v>
      </c>
      <c r="L31" s="144">
        <v>0</v>
      </c>
    </row>
    <row r="32" spans="1:12" x14ac:dyDescent="0.3">
      <c r="A32" s="221" t="s">
        <v>390</v>
      </c>
      <c r="B32" s="103" t="s">
        <v>774</v>
      </c>
      <c r="C32" s="144">
        <v>31991.360000000001</v>
      </c>
      <c r="D32" s="144">
        <v>0</v>
      </c>
      <c r="E32" s="144">
        <v>927358.19</v>
      </c>
      <c r="F32" s="144">
        <v>949737.52</v>
      </c>
      <c r="G32" s="144">
        <v>4.33</v>
      </c>
      <c r="H32" s="144">
        <v>6834.87</v>
      </c>
      <c r="I32" s="144">
        <v>927362.52</v>
      </c>
      <c r="J32" s="144">
        <v>956572.39</v>
      </c>
      <c r="K32" s="144">
        <v>2781.49</v>
      </c>
      <c r="L32" s="144">
        <v>0</v>
      </c>
    </row>
    <row r="33" spans="1:12" x14ac:dyDescent="0.3">
      <c r="A33" s="221" t="s">
        <v>818</v>
      </c>
      <c r="B33" s="103" t="s">
        <v>47</v>
      </c>
      <c r="C33" s="144">
        <v>1562.05</v>
      </c>
      <c r="D33" s="144">
        <v>0</v>
      </c>
      <c r="E33" s="144">
        <v>264000.12</v>
      </c>
      <c r="F33" s="144">
        <v>264049.65000000002</v>
      </c>
      <c r="G33" s="144">
        <v>153994.29999999999</v>
      </c>
      <c r="H33" s="144">
        <v>6.18</v>
      </c>
      <c r="I33" s="144">
        <v>417994.42</v>
      </c>
      <c r="J33" s="144">
        <v>264055.83</v>
      </c>
      <c r="K33" s="144">
        <v>155500.64000000001</v>
      </c>
      <c r="L33" s="144">
        <v>0</v>
      </c>
    </row>
    <row r="34" spans="1:12" x14ac:dyDescent="0.3">
      <c r="A34" s="221" t="s">
        <v>1176</v>
      </c>
      <c r="B34" s="103" t="s">
        <v>524</v>
      </c>
      <c r="C34" s="144">
        <v>0</v>
      </c>
      <c r="D34" s="144">
        <v>0</v>
      </c>
      <c r="E34" s="144">
        <v>267511.05</v>
      </c>
      <c r="F34" s="144">
        <v>267511.05</v>
      </c>
      <c r="G34" s="135">
        <v>0</v>
      </c>
      <c r="H34" s="135">
        <v>0</v>
      </c>
      <c r="I34" s="144">
        <v>267511.05</v>
      </c>
      <c r="J34" s="144">
        <v>267511.05</v>
      </c>
      <c r="K34" s="144">
        <v>0</v>
      </c>
      <c r="L34" s="144">
        <v>0</v>
      </c>
    </row>
    <row r="35" spans="1:12" x14ac:dyDescent="0.3">
      <c r="A35" s="221" t="s">
        <v>388</v>
      </c>
      <c r="B35" s="103" t="s">
        <v>549</v>
      </c>
      <c r="C35" s="144">
        <v>0</v>
      </c>
      <c r="D35" s="144">
        <v>0</v>
      </c>
      <c r="E35" s="144">
        <v>986011.55</v>
      </c>
      <c r="F35" s="144">
        <v>986011.55</v>
      </c>
      <c r="G35" s="144">
        <v>353566.4</v>
      </c>
      <c r="H35" s="144">
        <v>353566.4</v>
      </c>
      <c r="I35" s="144">
        <v>1339577.95</v>
      </c>
      <c r="J35" s="144">
        <v>1339577.95</v>
      </c>
      <c r="K35" s="144">
        <v>0</v>
      </c>
      <c r="L35" s="144">
        <v>0</v>
      </c>
    </row>
    <row r="36" spans="1:12" x14ac:dyDescent="0.3">
      <c r="A36" s="221" t="s">
        <v>180</v>
      </c>
      <c r="B36" s="103" t="s">
        <v>344</v>
      </c>
      <c r="C36" s="144">
        <v>0</v>
      </c>
      <c r="D36" s="144">
        <v>0</v>
      </c>
      <c r="E36" s="144">
        <v>1250350.03</v>
      </c>
      <c r="F36" s="144">
        <v>1250350.03</v>
      </c>
      <c r="G36" s="135">
        <v>0</v>
      </c>
      <c r="H36" s="144">
        <v>0</v>
      </c>
      <c r="I36" s="144">
        <v>1250350.03</v>
      </c>
      <c r="J36" s="144">
        <v>1250350.03</v>
      </c>
      <c r="K36" s="144">
        <v>0</v>
      </c>
      <c r="L36" s="144">
        <v>0</v>
      </c>
    </row>
    <row r="37" spans="1:12" x14ac:dyDescent="0.3">
      <c r="A37" s="221" t="s">
        <v>706</v>
      </c>
      <c r="B37" s="103" t="s">
        <v>502</v>
      </c>
      <c r="C37" s="144">
        <v>0</v>
      </c>
      <c r="D37" s="144">
        <v>0</v>
      </c>
      <c r="E37" s="144">
        <v>1161.5899999999999</v>
      </c>
      <c r="F37" s="144">
        <v>1076.29</v>
      </c>
      <c r="G37" s="135">
        <v>0</v>
      </c>
      <c r="H37" s="144">
        <v>85.3</v>
      </c>
      <c r="I37" s="144">
        <v>1161.5899999999999</v>
      </c>
      <c r="J37" s="144">
        <v>1161.5899999999999</v>
      </c>
      <c r="K37" s="144">
        <v>0</v>
      </c>
      <c r="L37" s="144">
        <v>0</v>
      </c>
    </row>
    <row r="38" spans="1:12" x14ac:dyDescent="0.3">
      <c r="A38" s="221" t="s">
        <v>1022</v>
      </c>
      <c r="B38" s="103" t="s">
        <v>450</v>
      </c>
      <c r="C38" s="144">
        <v>2153454.23</v>
      </c>
      <c r="D38" s="144">
        <v>0</v>
      </c>
      <c r="E38" s="144">
        <v>17626293.149999999</v>
      </c>
      <c r="F38" s="144">
        <v>16049328.970000001</v>
      </c>
      <c r="G38" s="144">
        <v>182196.32</v>
      </c>
      <c r="H38" s="144">
        <v>2386118.33</v>
      </c>
      <c r="I38" s="144">
        <v>17808489.469999999</v>
      </c>
      <c r="J38" s="144">
        <v>18435447.300000001</v>
      </c>
      <c r="K38" s="144">
        <v>1526496.4</v>
      </c>
      <c r="L38" s="144">
        <v>0</v>
      </c>
    </row>
    <row r="39" spans="1:12" x14ac:dyDescent="0.3">
      <c r="A39" s="221" t="s">
        <v>782</v>
      </c>
      <c r="B39" s="103" t="s">
        <v>35</v>
      </c>
      <c r="C39" s="144">
        <v>169536</v>
      </c>
      <c r="D39" s="144">
        <v>0</v>
      </c>
      <c r="E39" s="144">
        <v>1826106.6</v>
      </c>
      <c r="F39" s="144">
        <v>1698598.6</v>
      </c>
      <c r="G39" s="144">
        <v>803.32</v>
      </c>
      <c r="H39" s="144">
        <v>71202.14</v>
      </c>
      <c r="I39" s="144">
        <v>1826909.92</v>
      </c>
      <c r="J39" s="144">
        <v>1769800.74</v>
      </c>
      <c r="K39" s="144">
        <v>226645.18</v>
      </c>
      <c r="L39" s="144">
        <v>0</v>
      </c>
    </row>
    <row r="40" spans="1:12" x14ac:dyDescent="0.3">
      <c r="A40" s="221" t="s">
        <v>1055</v>
      </c>
      <c r="B40" s="103" t="s">
        <v>992</v>
      </c>
      <c r="C40" s="144">
        <v>0</v>
      </c>
      <c r="D40" s="144">
        <v>0</v>
      </c>
      <c r="E40" s="144">
        <v>896725.11</v>
      </c>
      <c r="F40" s="144">
        <v>848538.37</v>
      </c>
      <c r="G40" s="135">
        <v>0</v>
      </c>
      <c r="H40" s="135">
        <v>0</v>
      </c>
      <c r="I40" s="144">
        <v>896725.11</v>
      </c>
      <c r="J40" s="144">
        <v>848538.37</v>
      </c>
      <c r="K40" s="144">
        <v>48186.74</v>
      </c>
      <c r="L40" s="144">
        <v>0</v>
      </c>
    </row>
    <row r="41" spans="1:12" x14ac:dyDescent="0.3">
      <c r="A41" s="221" t="s">
        <v>1148</v>
      </c>
      <c r="B41" s="103" t="s">
        <v>566</v>
      </c>
      <c r="C41" s="144">
        <v>93774.93</v>
      </c>
      <c r="D41" s="144">
        <v>0</v>
      </c>
      <c r="E41" s="135">
        <v>0</v>
      </c>
      <c r="F41" s="144">
        <v>78819.83</v>
      </c>
      <c r="G41" s="135">
        <v>0</v>
      </c>
      <c r="H41" s="135">
        <v>0</v>
      </c>
      <c r="I41" s="135">
        <v>0</v>
      </c>
      <c r="J41" s="144">
        <v>78819.83</v>
      </c>
      <c r="K41" s="144">
        <v>14955.1</v>
      </c>
      <c r="L41" s="144">
        <v>0</v>
      </c>
    </row>
    <row r="42" spans="1:12" x14ac:dyDescent="0.3">
      <c r="A42" s="221" t="s">
        <v>76</v>
      </c>
      <c r="B42" s="103" t="s">
        <v>680</v>
      </c>
      <c r="C42" s="144">
        <v>0</v>
      </c>
      <c r="D42" s="144">
        <v>0</v>
      </c>
      <c r="E42" s="144">
        <v>41.67</v>
      </c>
      <c r="F42" s="135">
        <v>0</v>
      </c>
      <c r="G42" s="135">
        <v>0</v>
      </c>
      <c r="H42" s="135">
        <v>0</v>
      </c>
      <c r="I42" s="144">
        <v>41.67</v>
      </c>
      <c r="J42" s="135">
        <v>0</v>
      </c>
      <c r="K42" s="144">
        <v>41.67</v>
      </c>
      <c r="L42" s="144">
        <v>0</v>
      </c>
    </row>
    <row r="43" spans="1:12" x14ac:dyDescent="0.3">
      <c r="A43" s="221" t="s">
        <v>503</v>
      </c>
      <c r="B43" s="103" t="s">
        <v>680</v>
      </c>
      <c r="C43" s="144">
        <v>1544.89</v>
      </c>
      <c r="D43" s="144">
        <v>0</v>
      </c>
      <c r="E43" s="144">
        <v>49806.02</v>
      </c>
      <c r="F43" s="144">
        <v>9936.1299999999992</v>
      </c>
      <c r="G43" s="144">
        <v>-16287.3</v>
      </c>
      <c r="H43" s="135">
        <v>0</v>
      </c>
      <c r="I43" s="144">
        <v>33518.720000000001</v>
      </c>
      <c r="J43" s="144">
        <v>9936.1299999999992</v>
      </c>
      <c r="K43" s="144">
        <v>25127.48</v>
      </c>
      <c r="L43" s="144">
        <v>0</v>
      </c>
    </row>
    <row r="44" spans="1:12" x14ac:dyDescent="0.3">
      <c r="A44" s="221" t="s">
        <v>826</v>
      </c>
      <c r="B44" s="103" t="s">
        <v>747</v>
      </c>
      <c r="C44" s="144">
        <v>500</v>
      </c>
      <c r="D44" s="144">
        <v>0</v>
      </c>
      <c r="E44" s="144">
        <v>-100</v>
      </c>
      <c r="F44" s="135">
        <v>0</v>
      </c>
      <c r="G44" s="135">
        <v>0</v>
      </c>
      <c r="H44" s="135">
        <v>0</v>
      </c>
      <c r="I44" s="144">
        <v>-100</v>
      </c>
      <c r="J44" s="135">
        <v>0</v>
      </c>
      <c r="K44" s="144">
        <v>400</v>
      </c>
      <c r="L44" s="144">
        <v>0</v>
      </c>
    </row>
    <row r="45" spans="1:12" x14ac:dyDescent="0.3">
      <c r="A45" s="221" t="s">
        <v>439</v>
      </c>
      <c r="B45" s="103" t="s">
        <v>479</v>
      </c>
      <c r="C45" s="144">
        <v>890.05</v>
      </c>
      <c r="D45" s="144">
        <v>0</v>
      </c>
      <c r="E45" s="144">
        <v>3916.7</v>
      </c>
      <c r="F45" s="144">
        <v>1784.45</v>
      </c>
      <c r="G45" s="144">
        <v>166.67</v>
      </c>
      <c r="H45" s="135">
        <v>0</v>
      </c>
      <c r="I45" s="144">
        <v>4083.37</v>
      </c>
      <c r="J45" s="144">
        <v>1784.45</v>
      </c>
      <c r="K45" s="144">
        <v>3188.97</v>
      </c>
      <c r="L45" s="144">
        <v>0</v>
      </c>
    </row>
    <row r="46" spans="1:12" x14ac:dyDescent="0.3">
      <c r="A46" s="221" t="s">
        <v>629</v>
      </c>
      <c r="B46" s="103" t="s">
        <v>678</v>
      </c>
      <c r="C46" s="144">
        <v>586.37</v>
      </c>
      <c r="D46" s="144">
        <v>0</v>
      </c>
      <c r="E46" s="144">
        <v>250</v>
      </c>
      <c r="F46" s="144">
        <v>508.56</v>
      </c>
      <c r="G46" s="135">
        <v>0</v>
      </c>
      <c r="H46" s="135">
        <v>0</v>
      </c>
      <c r="I46" s="144">
        <v>250</v>
      </c>
      <c r="J46" s="144">
        <v>508.56</v>
      </c>
      <c r="K46" s="144">
        <v>327.81</v>
      </c>
      <c r="L46" s="144">
        <v>0</v>
      </c>
    </row>
    <row r="47" spans="1:12" x14ac:dyDescent="0.3">
      <c r="A47" s="221" t="s">
        <v>394</v>
      </c>
      <c r="B47" s="103" t="s">
        <v>962</v>
      </c>
      <c r="C47" s="144">
        <v>126.58</v>
      </c>
      <c r="D47" s="144">
        <v>0</v>
      </c>
      <c r="E47" s="144">
        <v>1405</v>
      </c>
      <c r="F47" s="144">
        <v>694.89</v>
      </c>
      <c r="G47" s="144">
        <v>250</v>
      </c>
      <c r="H47" s="135">
        <v>0</v>
      </c>
      <c r="I47" s="144">
        <v>1655</v>
      </c>
      <c r="J47" s="144">
        <v>694.89</v>
      </c>
      <c r="K47" s="144">
        <v>1086.69</v>
      </c>
      <c r="L47" s="144">
        <v>0</v>
      </c>
    </row>
    <row r="48" spans="1:12" x14ac:dyDescent="0.3">
      <c r="A48" s="221" t="s">
        <v>459</v>
      </c>
      <c r="B48" s="103" t="s">
        <v>296</v>
      </c>
      <c r="C48" s="144">
        <v>77.89</v>
      </c>
      <c r="D48" s="144">
        <v>0</v>
      </c>
      <c r="E48" s="135">
        <v>0</v>
      </c>
      <c r="F48" s="144">
        <v>0.37</v>
      </c>
      <c r="G48" s="135">
        <v>0</v>
      </c>
      <c r="H48" s="135">
        <v>0</v>
      </c>
      <c r="I48" s="135">
        <v>0</v>
      </c>
      <c r="J48" s="144">
        <v>0.37</v>
      </c>
      <c r="K48" s="144">
        <v>77.52</v>
      </c>
      <c r="L48" s="144">
        <v>0</v>
      </c>
    </row>
    <row r="49" spans="1:12" x14ac:dyDescent="0.3">
      <c r="A49" s="221" t="s">
        <v>1067</v>
      </c>
      <c r="B49" s="103" t="s">
        <v>570</v>
      </c>
      <c r="C49" s="144">
        <v>34.51</v>
      </c>
      <c r="D49" s="144">
        <v>0</v>
      </c>
      <c r="E49" s="144">
        <v>132.32</v>
      </c>
      <c r="F49" s="135">
        <v>0</v>
      </c>
      <c r="G49" s="135">
        <v>0</v>
      </c>
      <c r="H49" s="135">
        <v>0</v>
      </c>
      <c r="I49" s="144">
        <v>132.32</v>
      </c>
      <c r="J49" s="135">
        <v>0</v>
      </c>
      <c r="K49" s="144">
        <v>166.83</v>
      </c>
      <c r="L49" s="144">
        <v>0</v>
      </c>
    </row>
    <row r="50" spans="1:12" x14ac:dyDescent="0.3">
      <c r="A50" s="221" t="s">
        <v>844</v>
      </c>
      <c r="B50" s="103" t="s">
        <v>25</v>
      </c>
      <c r="C50" s="144">
        <v>63.17</v>
      </c>
      <c r="D50" s="144">
        <v>0</v>
      </c>
      <c r="E50" s="144">
        <v>83.33</v>
      </c>
      <c r="F50" s="144">
        <v>54.04</v>
      </c>
      <c r="G50" s="135">
        <v>0</v>
      </c>
      <c r="H50" s="135">
        <v>0</v>
      </c>
      <c r="I50" s="144">
        <v>83.33</v>
      </c>
      <c r="J50" s="144">
        <v>54.04</v>
      </c>
      <c r="K50" s="144">
        <v>92.46</v>
      </c>
      <c r="L50" s="144">
        <v>0</v>
      </c>
    </row>
    <row r="51" spans="1:12" x14ac:dyDescent="0.3">
      <c r="A51" s="221" t="s">
        <v>926</v>
      </c>
      <c r="B51" s="103" t="s">
        <v>1068</v>
      </c>
      <c r="C51" s="144">
        <v>0</v>
      </c>
      <c r="D51" s="144">
        <v>0</v>
      </c>
      <c r="E51" s="144">
        <v>10.97</v>
      </c>
      <c r="F51" s="144">
        <v>8.56</v>
      </c>
      <c r="G51" s="135">
        <v>0</v>
      </c>
      <c r="H51" s="135">
        <v>0</v>
      </c>
      <c r="I51" s="144">
        <v>10.97</v>
      </c>
      <c r="J51" s="144">
        <v>8.56</v>
      </c>
      <c r="K51" s="144">
        <v>2.41</v>
      </c>
      <c r="L51" s="144">
        <v>0</v>
      </c>
    </row>
    <row r="52" spans="1:12" x14ac:dyDescent="0.3">
      <c r="A52" s="221" t="s">
        <v>957</v>
      </c>
      <c r="B52" s="103" t="s">
        <v>342</v>
      </c>
      <c r="C52" s="144">
        <v>382.15</v>
      </c>
      <c r="D52" s="144">
        <v>0</v>
      </c>
      <c r="E52" s="144">
        <v>4083.36</v>
      </c>
      <c r="F52" s="144">
        <v>2342.0700000000002</v>
      </c>
      <c r="G52" s="144">
        <v>166.67</v>
      </c>
      <c r="H52" s="135">
        <v>0</v>
      </c>
      <c r="I52" s="144">
        <v>4250.03</v>
      </c>
      <c r="J52" s="144">
        <v>2342.0700000000002</v>
      </c>
      <c r="K52" s="144">
        <v>2290.11</v>
      </c>
      <c r="L52" s="144">
        <v>0</v>
      </c>
    </row>
    <row r="53" spans="1:12" x14ac:dyDescent="0.3">
      <c r="A53" s="221" t="s">
        <v>1007</v>
      </c>
      <c r="B53" s="103" t="s">
        <v>248</v>
      </c>
      <c r="C53" s="144">
        <v>416.92</v>
      </c>
      <c r="D53" s="144">
        <v>0</v>
      </c>
      <c r="E53" s="144">
        <v>-151.57</v>
      </c>
      <c r="F53" s="144">
        <v>98.67</v>
      </c>
      <c r="G53" s="135">
        <v>0</v>
      </c>
      <c r="H53" s="135">
        <v>0</v>
      </c>
      <c r="I53" s="144">
        <v>-151.57</v>
      </c>
      <c r="J53" s="144">
        <v>98.67</v>
      </c>
      <c r="K53" s="144">
        <v>166.68</v>
      </c>
      <c r="L53" s="144">
        <v>0</v>
      </c>
    </row>
    <row r="54" spans="1:12" x14ac:dyDescent="0.3">
      <c r="A54" s="221" t="s">
        <v>1180</v>
      </c>
      <c r="B54" s="103" t="s">
        <v>667</v>
      </c>
      <c r="C54" s="144">
        <v>37.659999999999997</v>
      </c>
      <c r="D54" s="144">
        <v>0</v>
      </c>
      <c r="E54" s="144">
        <v>166.67</v>
      </c>
      <c r="F54" s="144">
        <v>14.61</v>
      </c>
      <c r="G54" s="135">
        <v>0</v>
      </c>
      <c r="H54" s="135">
        <v>0</v>
      </c>
      <c r="I54" s="144">
        <v>166.67</v>
      </c>
      <c r="J54" s="144">
        <v>14.61</v>
      </c>
      <c r="K54" s="144">
        <v>189.72</v>
      </c>
      <c r="L54" s="144">
        <v>0</v>
      </c>
    </row>
    <row r="55" spans="1:12" x14ac:dyDescent="0.3">
      <c r="A55" s="221" t="s">
        <v>362</v>
      </c>
      <c r="B55" s="103" t="s">
        <v>476</v>
      </c>
      <c r="C55" s="144">
        <v>0</v>
      </c>
      <c r="D55" s="144">
        <v>0</v>
      </c>
      <c r="E55" s="144">
        <v>83.33</v>
      </c>
      <c r="F55" s="135">
        <v>0</v>
      </c>
      <c r="G55" s="144">
        <v>666.67</v>
      </c>
      <c r="H55" s="135">
        <v>0</v>
      </c>
      <c r="I55" s="144">
        <v>750</v>
      </c>
      <c r="J55" s="135">
        <v>0</v>
      </c>
      <c r="K55" s="144">
        <v>750</v>
      </c>
      <c r="L55" s="144">
        <v>0</v>
      </c>
    </row>
    <row r="56" spans="1:12" x14ac:dyDescent="0.3">
      <c r="A56" s="221" t="s">
        <v>512</v>
      </c>
      <c r="B56" s="103" t="s">
        <v>355</v>
      </c>
      <c r="C56" s="144">
        <v>0</v>
      </c>
      <c r="D56" s="144">
        <v>0</v>
      </c>
      <c r="E56" s="144">
        <v>5183.75</v>
      </c>
      <c r="F56" s="144">
        <v>5183.75</v>
      </c>
      <c r="G56" s="144">
        <v>266.75</v>
      </c>
      <c r="H56" s="135">
        <v>0</v>
      </c>
      <c r="I56" s="144">
        <v>5450.5</v>
      </c>
      <c r="J56" s="144">
        <v>5183.75</v>
      </c>
      <c r="K56" s="144">
        <v>266.75</v>
      </c>
      <c r="L56" s="144">
        <v>0</v>
      </c>
    </row>
    <row r="57" spans="1:12" x14ac:dyDescent="0.3">
      <c r="A57" s="221" t="s">
        <v>1200</v>
      </c>
      <c r="B57" s="103" t="s">
        <v>900</v>
      </c>
      <c r="C57" s="144">
        <v>0</v>
      </c>
      <c r="D57" s="144">
        <v>0</v>
      </c>
      <c r="E57" s="144">
        <v>71078.880000000005</v>
      </c>
      <c r="F57" s="144">
        <v>50220.57</v>
      </c>
      <c r="G57" s="144">
        <v>8241.08</v>
      </c>
      <c r="H57" s="135">
        <v>0</v>
      </c>
      <c r="I57" s="144">
        <v>79319.960000000006</v>
      </c>
      <c r="J57" s="144">
        <v>50220.57</v>
      </c>
      <c r="K57" s="144">
        <v>29099.39</v>
      </c>
      <c r="L57" s="144">
        <v>0</v>
      </c>
    </row>
    <row r="58" spans="1:12" x14ac:dyDescent="0.3">
      <c r="A58" s="221" t="s">
        <v>1125</v>
      </c>
      <c r="B58" s="103" t="s">
        <v>480</v>
      </c>
      <c r="C58" s="144">
        <v>0</v>
      </c>
      <c r="D58" s="144">
        <v>0</v>
      </c>
      <c r="E58" s="144">
        <v>6560.01</v>
      </c>
      <c r="F58" s="144">
        <v>8829.7099999999991</v>
      </c>
      <c r="G58" s="144">
        <v>627</v>
      </c>
      <c r="H58" s="135">
        <v>0</v>
      </c>
      <c r="I58" s="144">
        <v>7187.01</v>
      </c>
      <c r="J58" s="144">
        <v>8829.7099999999991</v>
      </c>
      <c r="K58" s="144">
        <v>0</v>
      </c>
      <c r="L58" s="144">
        <v>1642.7</v>
      </c>
    </row>
    <row r="59" spans="1:12" x14ac:dyDescent="0.3">
      <c r="A59" s="221" t="s">
        <v>1154</v>
      </c>
      <c r="B59" s="103" t="s">
        <v>331</v>
      </c>
      <c r="C59" s="144">
        <v>0</v>
      </c>
      <c r="D59" s="144">
        <v>0</v>
      </c>
      <c r="E59" s="144">
        <v>623554.35</v>
      </c>
      <c r="F59" s="144">
        <v>623554.35</v>
      </c>
      <c r="G59" s="135">
        <v>0</v>
      </c>
      <c r="H59" s="135">
        <v>0</v>
      </c>
      <c r="I59" s="144">
        <v>623554.35</v>
      </c>
      <c r="J59" s="144">
        <v>623554.35</v>
      </c>
      <c r="K59" s="144">
        <v>0</v>
      </c>
      <c r="L59" s="144">
        <v>0</v>
      </c>
    </row>
    <row r="60" spans="1:12" x14ac:dyDescent="0.3">
      <c r="A60" s="221" t="s">
        <v>1256</v>
      </c>
      <c r="B60" s="103" t="s">
        <v>804</v>
      </c>
      <c r="C60" s="144">
        <v>0</v>
      </c>
      <c r="D60" s="144">
        <v>3032182.4</v>
      </c>
      <c r="E60" s="144">
        <v>14216930.859999999</v>
      </c>
      <c r="F60" s="144">
        <v>14397133.34</v>
      </c>
      <c r="G60" s="144">
        <v>2647660.73</v>
      </c>
      <c r="H60" s="144">
        <v>772276.66</v>
      </c>
      <c r="I60" s="144">
        <v>16864591.59</v>
      </c>
      <c r="J60" s="144">
        <v>15169410</v>
      </c>
      <c r="K60" s="144">
        <v>0</v>
      </c>
      <c r="L60" s="144">
        <v>1337000.81</v>
      </c>
    </row>
    <row r="61" spans="1:12" x14ac:dyDescent="0.3">
      <c r="A61" s="221" t="s">
        <v>766</v>
      </c>
      <c r="B61" s="103" t="s">
        <v>525</v>
      </c>
      <c r="C61" s="144">
        <v>0</v>
      </c>
      <c r="D61" s="144">
        <v>201234.85</v>
      </c>
      <c r="E61" s="144">
        <v>601482.25</v>
      </c>
      <c r="F61" s="144">
        <v>484574.73</v>
      </c>
      <c r="G61" s="144">
        <v>73407.570000000007</v>
      </c>
      <c r="H61" s="144">
        <v>2311.27</v>
      </c>
      <c r="I61" s="144">
        <v>674889.82</v>
      </c>
      <c r="J61" s="144">
        <v>486886</v>
      </c>
      <c r="K61" s="144">
        <v>0</v>
      </c>
      <c r="L61" s="144">
        <v>13231.03</v>
      </c>
    </row>
    <row r="62" spans="1:12" x14ac:dyDescent="0.3">
      <c r="A62" s="221" t="s">
        <v>1234</v>
      </c>
      <c r="B62" s="103" t="s">
        <v>525</v>
      </c>
      <c r="C62" s="144">
        <v>0</v>
      </c>
      <c r="D62" s="144">
        <v>179849.74</v>
      </c>
      <c r="E62" s="144">
        <v>1692380.05</v>
      </c>
      <c r="F62" s="144">
        <v>1650911.88</v>
      </c>
      <c r="G62" s="144">
        <v>74471.61</v>
      </c>
      <c r="H62" s="144">
        <v>190555.22</v>
      </c>
      <c r="I62" s="144">
        <v>1766851.66</v>
      </c>
      <c r="J62" s="144">
        <v>1841467.1</v>
      </c>
      <c r="K62" s="144">
        <v>0</v>
      </c>
      <c r="L62" s="144">
        <v>254465.18</v>
      </c>
    </row>
    <row r="63" spans="1:12" x14ac:dyDescent="0.3">
      <c r="A63" s="221" t="s">
        <v>674</v>
      </c>
      <c r="B63" s="103" t="s">
        <v>800</v>
      </c>
      <c r="C63" s="144">
        <v>0</v>
      </c>
      <c r="D63" s="144">
        <v>40889.57</v>
      </c>
      <c r="E63" s="144">
        <v>58281.51</v>
      </c>
      <c r="F63" s="144">
        <v>17102.88</v>
      </c>
      <c r="G63" s="144">
        <v>342.92</v>
      </c>
      <c r="H63" s="144">
        <v>342.92</v>
      </c>
      <c r="I63" s="144">
        <v>58624.43</v>
      </c>
      <c r="J63" s="144">
        <v>17445.8</v>
      </c>
      <c r="K63" s="144">
        <v>289.06</v>
      </c>
      <c r="L63" s="144">
        <v>0</v>
      </c>
    </row>
    <row r="64" spans="1:12" x14ac:dyDescent="0.3">
      <c r="A64" s="221" t="s">
        <v>367</v>
      </c>
      <c r="B64" s="103" t="s">
        <v>836</v>
      </c>
      <c r="C64" s="144">
        <v>0</v>
      </c>
      <c r="D64" s="144">
        <v>862.01</v>
      </c>
      <c r="E64" s="144">
        <v>893.09</v>
      </c>
      <c r="F64" s="135">
        <v>0</v>
      </c>
      <c r="G64" s="135">
        <v>0</v>
      </c>
      <c r="H64" s="135">
        <v>0</v>
      </c>
      <c r="I64" s="144">
        <v>893.09</v>
      </c>
      <c r="J64" s="135">
        <v>0</v>
      </c>
      <c r="K64" s="144">
        <v>31.08</v>
      </c>
      <c r="L64" s="144">
        <v>0</v>
      </c>
    </row>
    <row r="65" spans="1:12" x14ac:dyDescent="0.3">
      <c r="A65" s="221" t="s">
        <v>278</v>
      </c>
      <c r="B65" s="103" t="s">
        <v>37</v>
      </c>
      <c r="C65" s="144">
        <v>0</v>
      </c>
      <c r="D65" s="144">
        <v>0</v>
      </c>
      <c r="E65" s="144">
        <v>264634.14</v>
      </c>
      <c r="F65" s="144">
        <v>264634.14</v>
      </c>
      <c r="G65" s="135">
        <v>0</v>
      </c>
      <c r="H65" s="135">
        <v>0</v>
      </c>
      <c r="I65" s="144">
        <v>264634.14</v>
      </c>
      <c r="J65" s="144">
        <v>264634.14</v>
      </c>
      <c r="K65" s="144">
        <v>0</v>
      </c>
      <c r="L65" s="144">
        <v>0</v>
      </c>
    </row>
    <row r="66" spans="1:12" x14ac:dyDescent="0.3">
      <c r="A66" s="221" t="s">
        <v>1102</v>
      </c>
      <c r="B66" s="103" t="s">
        <v>1137</v>
      </c>
      <c r="C66" s="144">
        <v>0</v>
      </c>
      <c r="D66" s="144">
        <v>49422.09</v>
      </c>
      <c r="E66" s="144">
        <v>45122.09</v>
      </c>
      <c r="F66" s="135">
        <v>0</v>
      </c>
      <c r="G66" s="144">
        <v>4300</v>
      </c>
      <c r="H66" s="135">
        <v>0</v>
      </c>
      <c r="I66" s="144">
        <v>49422.09</v>
      </c>
      <c r="J66" s="135">
        <v>0</v>
      </c>
      <c r="K66" s="144">
        <v>0</v>
      </c>
      <c r="L66" s="144">
        <v>0</v>
      </c>
    </row>
    <row r="67" spans="1:12" x14ac:dyDescent="0.3">
      <c r="A67" s="221" t="s">
        <v>849</v>
      </c>
      <c r="B67" s="103" t="s">
        <v>257</v>
      </c>
      <c r="C67" s="144">
        <v>0</v>
      </c>
      <c r="D67" s="144">
        <v>0</v>
      </c>
      <c r="E67" s="135">
        <v>0</v>
      </c>
      <c r="F67" s="144">
        <v>426294.7</v>
      </c>
      <c r="G67" s="135">
        <v>0</v>
      </c>
      <c r="H67" s="135">
        <v>0</v>
      </c>
      <c r="I67" s="135">
        <v>0</v>
      </c>
      <c r="J67" s="144">
        <v>426294.7</v>
      </c>
      <c r="K67" s="144">
        <v>0</v>
      </c>
      <c r="L67" s="144">
        <v>426294.7</v>
      </c>
    </row>
    <row r="68" spans="1:12" x14ac:dyDescent="0.3">
      <c r="A68" s="221" t="s">
        <v>733</v>
      </c>
      <c r="B68" s="103" t="s">
        <v>784</v>
      </c>
      <c r="C68" s="144">
        <v>10578.65</v>
      </c>
      <c r="D68" s="144">
        <v>0</v>
      </c>
      <c r="E68" s="144">
        <v>-10578.6</v>
      </c>
      <c r="F68" s="135">
        <v>0</v>
      </c>
      <c r="G68" s="144">
        <v>2787.84</v>
      </c>
      <c r="H68" s="135">
        <v>0</v>
      </c>
      <c r="I68" s="144">
        <v>-7790.76</v>
      </c>
      <c r="J68" s="135">
        <v>0</v>
      </c>
      <c r="K68" s="144">
        <v>2787.89</v>
      </c>
      <c r="L68" s="144">
        <v>0</v>
      </c>
    </row>
    <row r="69" spans="1:12" x14ac:dyDescent="0.3">
      <c r="A69" s="221" t="s">
        <v>1016</v>
      </c>
      <c r="B69" s="103" t="s">
        <v>249</v>
      </c>
      <c r="C69" s="144">
        <v>0</v>
      </c>
      <c r="D69" s="144">
        <v>0</v>
      </c>
      <c r="E69" s="144">
        <v>1127.8599999999999</v>
      </c>
      <c r="F69" s="135">
        <v>0</v>
      </c>
      <c r="G69" s="135">
        <v>0</v>
      </c>
      <c r="H69" s="135">
        <v>0</v>
      </c>
      <c r="I69" s="144">
        <v>1127.8599999999999</v>
      </c>
      <c r="J69" s="135">
        <v>0</v>
      </c>
      <c r="K69" s="144">
        <v>1127.8599999999999</v>
      </c>
      <c r="L69" s="144">
        <v>0</v>
      </c>
    </row>
    <row r="70" spans="1:12" x14ac:dyDescent="0.3">
      <c r="A70" s="221" t="s">
        <v>65</v>
      </c>
      <c r="B70" s="103" t="s">
        <v>249</v>
      </c>
      <c r="C70" s="144">
        <v>0</v>
      </c>
      <c r="D70" s="144">
        <v>46713.36</v>
      </c>
      <c r="E70" s="144">
        <v>790635.61</v>
      </c>
      <c r="F70" s="144">
        <v>815933.29</v>
      </c>
      <c r="G70" s="144">
        <v>88019.81</v>
      </c>
      <c r="H70" s="144">
        <v>67960.740000000005</v>
      </c>
      <c r="I70" s="144">
        <v>878655.42</v>
      </c>
      <c r="J70" s="144">
        <v>883894.03</v>
      </c>
      <c r="K70" s="144">
        <v>0</v>
      </c>
      <c r="L70" s="144">
        <v>51951.97</v>
      </c>
    </row>
    <row r="71" spans="1:12" x14ac:dyDescent="0.3">
      <c r="A71" s="221" t="s">
        <v>61</v>
      </c>
      <c r="B71" s="103" t="s">
        <v>1215</v>
      </c>
      <c r="C71" s="144">
        <v>0</v>
      </c>
      <c r="D71" s="144">
        <v>20915.93</v>
      </c>
      <c r="E71" s="144">
        <v>271239.28000000003</v>
      </c>
      <c r="F71" s="144">
        <v>272490.09000000003</v>
      </c>
      <c r="G71" s="144">
        <v>22459.05</v>
      </c>
      <c r="H71" s="144">
        <v>22585.42</v>
      </c>
      <c r="I71" s="144">
        <v>293698.33</v>
      </c>
      <c r="J71" s="144">
        <v>295075.51</v>
      </c>
      <c r="K71" s="144">
        <v>0</v>
      </c>
      <c r="L71" s="144">
        <v>22293.11</v>
      </c>
    </row>
    <row r="72" spans="1:12" x14ac:dyDescent="0.3">
      <c r="A72" s="221" t="s">
        <v>567</v>
      </c>
      <c r="B72" s="103" t="s">
        <v>207</v>
      </c>
      <c r="C72" s="144">
        <v>0</v>
      </c>
      <c r="D72" s="144">
        <v>6914.8</v>
      </c>
      <c r="E72" s="144">
        <v>88284.61</v>
      </c>
      <c r="F72" s="144">
        <v>108547</v>
      </c>
      <c r="G72" s="144">
        <v>7606.29</v>
      </c>
      <c r="H72" s="144">
        <v>9005.9599999999991</v>
      </c>
      <c r="I72" s="144">
        <v>95890.9</v>
      </c>
      <c r="J72" s="144">
        <v>117552.96000000001</v>
      </c>
      <c r="K72" s="144">
        <v>0</v>
      </c>
      <c r="L72" s="144">
        <v>28576.86</v>
      </c>
    </row>
    <row r="73" spans="1:12" x14ac:dyDescent="0.3">
      <c r="A73" s="221" t="s">
        <v>1289</v>
      </c>
      <c r="B73" s="103" t="s">
        <v>160</v>
      </c>
      <c r="C73" s="144">
        <v>0</v>
      </c>
      <c r="D73" s="144">
        <v>1265.69</v>
      </c>
      <c r="E73" s="144">
        <v>19063.84</v>
      </c>
      <c r="F73" s="144">
        <v>135.83000000000001</v>
      </c>
      <c r="G73" s="144">
        <v>1271.8</v>
      </c>
      <c r="H73" s="135">
        <v>0</v>
      </c>
      <c r="I73" s="144">
        <v>20335.64</v>
      </c>
      <c r="J73" s="144">
        <v>135.83000000000001</v>
      </c>
      <c r="K73" s="144">
        <v>18934.12</v>
      </c>
      <c r="L73" s="144">
        <v>0</v>
      </c>
    </row>
    <row r="74" spans="1:12" x14ac:dyDescent="0.3">
      <c r="A74" s="221" t="s">
        <v>851</v>
      </c>
      <c r="B74" s="103" t="s">
        <v>161</v>
      </c>
      <c r="C74" s="144">
        <v>0</v>
      </c>
      <c r="D74" s="144">
        <v>106.45</v>
      </c>
      <c r="E74" s="144">
        <v>483.43</v>
      </c>
      <c r="F74" s="144">
        <v>59.95</v>
      </c>
      <c r="G74" s="135">
        <v>0</v>
      </c>
      <c r="H74" s="135">
        <v>0</v>
      </c>
      <c r="I74" s="144">
        <v>483.43</v>
      </c>
      <c r="J74" s="144">
        <v>59.95</v>
      </c>
      <c r="K74" s="144">
        <v>317.02999999999997</v>
      </c>
      <c r="L74" s="144">
        <v>0</v>
      </c>
    </row>
    <row r="75" spans="1:12" x14ac:dyDescent="0.3">
      <c r="A75" s="221" t="s">
        <v>794</v>
      </c>
      <c r="B75" s="103" t="s">
        <v>335</v>
      </c>
      <c r="C75" s="144">
        <v>240.94</v>
      </c>
      <c r="D75" s="144">
        <v>0</v>
      </c>
      <c r="E75" s="144">
        <v>8104.11</v>
      </c>
      <c r="F75" s="135">
        <v>0</v>
      </c>
      <c r="G75" s="135">
        <v>0</v>
      </c>
      <c r="H75" s="144">
        <v>20938.3</v>
      </c>
      <c r="I75" s="144">
        <v>8104.11</v>
      </c>
      <c r="J75" s="144">
        <v>20938.3</v>
      </c>
      <c r="K75" s="144">
        <v>0</v>
      </c>
      <c r="L75" s="144">
        <v>12593.25</v>
      </c>
    </row>
    <row r="76" spans="1:12" x14ac:dyDescent="0.3">
      <c r="A76" s="221" t="s">
        <v>375</v>
      </c>
      <c r="B76" s="103" t="s">
        <v>291</v>
      </c>
      <c r="C76" s="144">
        <v>1322.23</v>
      </c>
      <c r="D76" s="144">
        <v>0</v>
      </c>
      <c r="E76" s="144">
        <v>9782.85</v>
      </c>
      <c r="F76" s="135">
        <v>0</v>
      </c>
      <c r="G76" s="144">
        <v>6521.9</v>
      </c>
      <c r="H76" s="135">
        <v>0</v>
      </c>
      <c r="I76" s="144">
        <v>16304.75</v>
      </c>
      <c r="J76" s="135">
        <v>0</v>
      </c>
      <c r="K76" s="144">
        <v>17626.98</v>
      </c>
      <c r="L76" s="144">
        <v>0</v>
      </c>
    </row>
    <row r="77" spans="1:12" x14ac:dyDescent="0.3">
      <c r="A77" s="221" t="s">
        <v>416</v>
      </c>
      <c r="B77" s="103" t="s">
        <v>952</v>
      </c>
      <c r="C77" s="144">
        <v>0</v>
      </c>
      <c r="D77" s="144">
        <v>3439.24</v>
      </c>
      <c r="E77" s="144">
        <v>75712.039999999994</v>
      </c>
      <c r="F77" s="144">
        <v>62243.65</v>
      </c>
      <c r="G77" s="144">
        <v>6439.48</v>
      </c>
      <c r="H77" s="144">
        <v>6597.38</v>
      </c>
      <c r="I77" s="144">
        <v>82151.520000000004</v>
      </c>
      <c r="J77" s="144">
        <v>68841.03</v>
      </c>
      <c r="K77" s="144">
        <v>9871.25</v>
      </c>
      <c r="L77" s="144">
        <v>0</v>
      </c>
    </row>
    <row r="78" spans="1:12" x14ac:dyDescent="0.3">
      <c r="A78" s="221" t="s">
        <v>1243</v>
      </c>
      <c r="B78" s="103" t="s">
        <v>494</v>
      </c>
      <c r="C78" s="144">
        <v>85442.33</v>
      </c>
      <c r="D78" s="144">
        <v>0</v>
      </c>
      <c r="E78" s="144">
        <v>511473.2</v>
      </c>
      <c r="F78" s="144">
        <v>5708.59</v>
      </c>
      <c r="G78" s="135">
        <v>0</v>
      </c>
      <c r="H78" s="144">
        <v>21470.54</v>
      </c>
      <c r="I78" s="144">
        <v>511473.2</v>
      </c>
      <c r="J78" s="144">
        <v>27179.13</v>
      </c>
      <c r="K78" s="144">
        <v>569736.4</v>
      </c>
      <c r="L78" s="144">
        <v>0</v>
      </c>
    </row>
    <row r="79" spans="1:12" x14ac:dyDescent="0.3">
      <c r="A79" s="221" t="s">
        <v>371</v>
      </c>
      <c r="B79" s="103" t="s">
        <v>332</v>
      </c>
      <c r="C79" s="144">
        <v>0</v>
      </c>
      <c r="D79" s="144">
        <v>0</v>
      </c>
      <c r="E79" s="144">
        <v>113.16</v>
      </c>
      <c r="F79" s="135">
        <v>0</v>
      </c>
      <c r="G79" s="144">
        <v>11.94</v>
      </c>
      <c r="H79" s="135">
        <v>0</v>
      </c>
      <c r="I79" s="144">
        <v>125.1</v>
      </c>
      <c r="J79" s="135">
        <v>0</v>
      </c>
      <c r="K79" s="144">
        <v>125.1</v>
      </c>
      <c r="L79" s="144">
        <v>0</v>
      </c>
    </row>
    <row r="80" spans="1:12" x14ac:dyDescent="0.3">
      <c r="A80" s="221" t="s">
        <v>883</v>
      </c>
      <c r="B80" s="103" t="s">
        <v>279</v>
      </c>
      <c r="C80" s="144">
        <v>0</v>
      </c>
      <c r="D80" s="144">
        <v>0</v>
      </c>
      <c r="E80" s="144">
        <v>1631522.37</v>
      </c>
      <c r="F80" s="135">
        <v>0</v>
      </c>
      <c r="G80" s="144">
        <v>71208.639999999999</v>
      </c>
      <c r="H80" s="135">
        <v>0</v>
      </c>
      <c r="I80" s="144">
        <v>1702731.01</v>
      </c>
      <c r="J80" s="135">
        <v>0</v>
      </c>
      <c r="K80" s="144">
        <v>1702731.01</v>
      </c>
      <c r="L80" s="144">
        <v>0</v>
      </c>
    </row>
    <row r="81" spans="1:12" x14ac:dyDescent="0.3">
      <c r="A81" s="221" t="s">
        <v>488</v>
      </c>
      <c r="B81" s="103" t="s">
        <v>85</v>
      </c>
      <c r="C81" s="144">
        <v>0</v>
      </c>
      <c r="D81" s="144">
        <v>0</v>
      </c>
      <c r="E81" s="144">
        <v>205796.94</v>
      </c>
      <c r="F81" s="135">
        <v>0</v>
      </c>
      <c r="G81" s="144">
        <v>33705.67</v>
      </c>
      <c r="H81" s="135">
        <v>0</v>
      </c>
      <c r="I81" s="144">
        <v>239502.61</v>
      </c>
      <c r="J81" s="135">
        <v>0</v>
      </c>
      <c r="K81" s="144">
        <v>239502.61</v>
      </c>
      <c r="L81" s="144">
        <v>0</v>
      </c>
    </row>
    <row r="82" spans="1:12" x14ac:dyDescent="0.3">
      <c r="A82" s="221" t="s">
        <v>801</v>
      </c>
      <c r="B82" s="103" t="s">
        <v>186</v>
      </c>
      <c r="C82" s="144">
        <v>0</v>
      </c>
      <c r="D82" s="144">
        <v>0</v>
      </c>
      <c r="E82" s="144">
        <v>141534.87</v>
      </c>
      <c r="F82" s="135">
        <v>0</v>
      </c>
      <c r="G82" s="144">
        <v>4743.1099999999997</v>
      </c>
      <c r="H82" s="135">
        <v>0</v>
      </c>
      <c r="I82" s="144">
        <v>146277.98000000001</v>
      </c>
      <c r="J82" s="135">
        <v>0</v>
      </c>
      <c r="K82" s="144">
        <v>146277.98000000001</v>
      </c>
      <c r="L82" s="144">
        <v>0</v>
      </c>
    </row>
    <row r="83" spans="1:12" x14ac:dyDescent="0.3">
      <c r="A83" s="221" t="s">
        <v>5</v>
      </c>
      <c r="B83" s="103" t="s">
        <v>988</v>
      </c>
      <c r="C83" s="144">
        <v>0</v>
      </c>
      <c r="D83" s="144">
        <v>0</v>
      </c>
      <c r="E83" s="144">
        <v>651141.72</v>
      </c>
      <c r="F83" s="135">
        <v>0</v>
      </c>
      <c r="G83" s="144">
        <v>16218.35</v>
      </c>
      <c r="H83" s="135">
        <v>0</v>
      </c>
      <c r="I83" s="144">
        <v>667360.06999999995</v>
      </c>
      <c r="J83" s="135">
        <v>0</v>
      </c>
      <c r="K83" s="144">
        <v>667360.06999999995</v>
      </c>
      <c r="L83" s="144">
        <v>0</v>
      </c>
    </row>
    <row r="84" spans="1:12" x14ac:dyDescent="0.3">
      <c r="A84" s="221" t="s">
        <v>1138</v>
      </c>
      <c r="B84" s="103" t="s">
        <v>1201</v>
      </c>
      <c r="C84" s="144">
        <v>0</v>
      </c>
      <c r="D84" s="144">
        <v>0</v>
      </c>
      <c r="E84" s="135">
        <v>0</v>
      </c>
      <c r="F84" s="144">
        <v>2040354.32</v>
      </c>
      <c r="G84" s="135">
        <v>0</v>
      </c>
      <c r="H84" s="144">
        <v>13237.12</v>
      </c>
      <c r="I84" s="135">
        <v>0</v>
      </c>
      <c r="J84" s="144">
        <v>2053591.44</v>
      </c>
      <c r="K84" s="144">
        <v>0</v>
      </c>
      <c r="L84" s="144">
        <v>2053591.44</v>
      </c>
    </row>
    <row r="85" spans="1:12" x14ac:dyDescent="0.3">
      <c r="A85" s="221" t="s">
        <v>387</v>
      </c>
      <c r="B85" s="103" t="s">
        <v>264</v>
      </c>
      <c r="C85" s="144">
        <v>0</v>
      </c>
      <c r="D85" s="144">
        <v>0</v>
      </c>
      <c r="E85" s="135">
        <v>0</v>
      </c>
      <c r="F85" s="144">
        <v>205796.94</v>
      </c>
      <c r="G85" s="135">
        <v>0</v>
      </c>
      <c r="H85" s="144">
        <v>33705.67</v>
      </c>
      <c r="I85" s="135">
        <v>0</v>
      </c>
      <c r="J85" s="144">
        <v>239502.61</v>
      </c>
      <c r="K85" s="144">
        <v>0</v>
      </c>
      <c r="L85" s="144">
        <v>239502.61</v>
      </c>
    </row>
    <row r="86" spans="1:12" x14ac:dyDescent="0.3">
      <c r="A86" s="221" t="s">
        <v>312</v>
      </c>
      <c r="B86" s="103" t="s">
        <v>1093</v>
      </c>
      <c r="C86" s="144">
        <v>0</v>
      </c>
      <c r="D86" s="144">
        <v>0</v>
      </c>
      <c r="E86" s="135">
        <v>0</v>
      </c>
      <c r="F86" s="144">
        <v>141534.87</v>
      </c>
      <c r="G86" s="135">
        <v>0</v>
      </c>
      <c r="H86" s="144">
        <v>4743.1099999999997</v>
      </c>
      <c r="I86" s="135">
        <v>0</v>
      </c>
      <c r="J86" s="144">
        <v>146277.98000000001</v>
      </c>
      <c r="K86" s="144">
        <v>0</v>
      </c>
      <c r="L86" s="144">
        <v>146277.98000000001</v>
      </c>
    </row>
    <row r="87" spans="1:12" x14ac:dyDescent="0.3">
      <c r="A87" s="221" t="s">
        <v>974</v>
      </c>
      <c r="B87" s="103" t="s">
        <v>632</v>
      </c>
      <c r="C87" s="144">
        <v>0</v>
      </c>
      <c r="D87" s="144">
        <v>0</v>
      </c>
      <c r="E87" s="135">
        <v>0</v>
      </c>
      <c r="F87" s="144">
        <v>651141.72</v>
      </c>
      <c r="G87" s="135">
        <v>0</v>
      </c>
      <c r="H87" s="144">
        <v>16218.35</v>
      </c>
      <c r="I87" s="135">
        <v>0</v>
      </c>
      <c r="J87" s="144">
        <v>667360.06999999995</v>
      </c>
      <c r="K87" s="144">
        <v>0</v>
      </c>
      <c r="L87" s="144">
        <v>667360.06999999995</v>
      </c>
    </row>
    <row r="88" spans="1:12" x14ac:dyDescent="0.3">
      <c r="A88" s="221" t="s">
        <v>326</v>
      </c>
      <c r="B88" s="103" t="s">
        <v>967</v>
      </c>
      <c r="C88" s="144">
        <v>1035.7</v>
      </c>
      <c r="D88" s="144">
        <v>0</v>
      </c>
      <c r="E88" s="144">
        <v>10951.7</v>
      </c>
      <c r="F88" s="135">
        <v>0</v>
      </c>
      <c r="G88" s="144">
        <v>1172.67</v>
      </c>
      <c r="H88" s="135">
        <v>0</v>
      </c>
      <c r="I88" s="144">
        <v>12124.37</v>
      </c>
      <c r="J88" s="135">
        <v>0</v>
      </c>
      <c r="K88" s="144">
        <v>13160.07</v>
      </c>
      <c r="L88" s="144">
        <v>0</v>
      </c>
    </row>
    <row r="89" spans="1:12" x14ac:dyDescent="0.3">
      <c r="A89" s="221" t="s">
        <v>234</v>
      </c>
      <c r="B89" s="103" t="s">
        <v>690</v>
      </c>
      <c r="C89" s="144">
        <v>0</v>
      </c>
      <c r="D89" s="144">
        <v>0</v>
      </c>
      <c r="E89" s="135">
        <v>0</v>
      </c>
      <c r="F89" s="135">
        <v>0</v>
      </c>
      <c r="G89" s="135">
        <v>0</v>
      </c>
      <c r="H89" s="144">
        <v>153994.12</v>
      </c>
      <c r="I89" s="135">
        <v>0</v>
      </c>
      <c r="J89" s="144">
        <v>153994.12</v>
      </c>
      <c r="K89" s="144">
        <v>0</v>
      </c>
      <c r="L89" s="144">
        <v>153994.12</v>
      </c>
    </row>
    <row r="90" spans="1:12" x14ac:dyDescent="0.3">
      <c r="A90" s="221" t="s">
        <v>958</v>
      </c>
      <c r="B90" s="103" t="s">
        <v>1117</v>
      </c>
      <c r="C90" s="144">
        <v>0</v>
      </c>
      <c r="D90" s="144">
        <v>1319556.8500000001</v>
      </c>
      <c r="E90" s="144">
        <v>3000</v>
      </c>
      <c r="F90" s="144">
        <v>3000</v>
      </c>
      <c r="G90" s="135">
        <v>0</v>
      </c>
      <c r="H90" s="135">
        <v>0</v>
      </c>
      <c r="I90" s="144">
        <v>3000</v>
      </c>
      <c r="J90" s="144">
        <v>3000</v>
      </c>
      <c r="K90" s="144">
        <v>0</v>
      </c>
      <c r="L90" s="144">
        <v>1319556.8500000001</v>
      </c>
    </row>
    <row r="91" spans="1:12" x14ac:dyDescent="0.3">
      <c r="A91" s="221" t="s">
        <v>995</v>
      </c>
      <c r="B91" s="103" t="s">
        <v>1334</v>
      </c>
      <c r="C91" s="144">
        <v>10491.91</v>
      </c>
      <c r="D91" s="144">
        <v>0</v>
      </c>
      <c r="E91" s="135">
        <v>0</v>
      </c>
      <c r="F91" s="144">
        <v>3887.37</v>
      </c>
      <c r="G91" s="135">
        <v>0</v>
      </c>
      <c r="H91" s="144">
        <v>656.99</v>
      </c>
      <c r="I91" s="135">
        <v>0</v>
      </c>
      <c r="J91" s="144">
        <v>4544.3599999999997</v>
      </c>
      <c r="K91" s="144">
        <v>5947.55</v>
      </c>
      <c r="L91" s="144">
        <v>0</v>
      </c>
    </row>
    <row r="92" spans="1:12" x14ac:dyDescent="0.3">
      <c r="A92" s="221" t="s">
        <v>1323</v>
      </c>
      <c r="B92" s="103" t="s">
        <v>829</v>
      </c>
      <c r="C92" s="144">
        <v>8629.02</v>
      </c>
      <c r="D92" s="144">
        <v>0</v>
      </c>
      <c r="E92" s="135">
        <v>0</v>
      </c>
      <c r="F92" s="135">
        <v>0</v>
      </c>
      <c r="G92" s="135">
        <v>0</v>
      </c>
      <c r="H92" s="135">
        <v>0</v>
      </c>
      <c r="I92" s="135">
        <v>0</v>
      </c>
      <c r="J92" s="135">
        <v>0</v>
      </c>
      <c r="K92" s="144">
        <v>8629.02</v>
      </c>
      <c r="L92" s="144">
        <v>0</v>
      </c>
    </row>
    <row r="93" spans="1:12" x14ac:dyDescent="0.3">
      <c r="A93" s="221" t="s">
        <v>535</v>
      </c>
      <c r="B93" s="103" t="s">
        <v>38</v>
      </c>
      <c r="C93" s="144">
        <v>2462.25</v>
      </c>
      <c r="D93" s="144">
        <v>0</v>
      </c>
      <c r="E93" s="135">
        <v>0</v>
      </c>
      <c r="F93" s="144">
        <v>312.43</v>
      </c>
      <c r="G93" s="135">
        <v>0</v>
      </c>
      <c r="H93" s="135">
        <v>0</v>
      </c>
      <c r="I93" s="135">
        <v>0</v>
      </c>
      <c r="J93" s="144">
        <v>312.43</v>
      </c>
      <c r="K93" s="144">
        <v>2149.8200000000002</v>
      </c>
      <c r="L93" s="144">
        <v>0</v>
      </c>
    </row>
    <row r="94" spans="1:12" x14ac:dyDescent="0.3">
      <c r="A94" s="221" t="s">
        <v>109</v>
      </c>
      <c r="B94" s="103" t="s">
        <v>913</v>
      </c>
      <c r="C94" s="144">
        <v>0</v>
      </c>
      <c r="D94" s="144">
        <v>295.56</v>
      </c>
      <c r="E94" s="144">
        <v>12929.07</v>
      </c>
      <c r="F94" s="144">
        <v>6456.46</v>
      </c>
      <c r="G94" s="144">
        <v>270.06</v>
      </c>
      <c r="H94" s="144">
        <v>6447.06</v>
      </c>
      <c r="I94" s="144">
        <v>13199.13</v>
      </c>
      <c r="J94" s="144">
        <v>12903.52</v>
      </c>
      <c r="K94" s="144">
        <v>0.05</v>
      </c>
      <c r="L94" s="144">
        <v>0</v>
      </c>
    </row>
    <row r="95" spans="1:12" x14ac:dyDescent="0.3">
      <c r="A95" s="221" t="s">
        <v>36</v>
      </c>
      <c r="B95" s="103" t="s">
        <v>1284</v>
      </c>
      <c r="C95" s="144">
        <v>10106.049999999999</v>
      </c>
      <c r="D95" s="144">
        <v>0</v>
      </c>
      <c r="E95" s="144">
        <v>5063.09</v>
      </c>
      <c r="F95" s="135">
        <v>0</v>
      </c>
      <c r="G95" s="144">
        <v>8436.7099999999991</v>
      </c>
      <c r="H95" s="144">
        <v>10106.049999999999</v>
      </c>
      <c r="I95" s="144">
        <v>13499.8</v>
      </c>
      <c r="J95" s="144">
        <v>10106.049999999999</v>
      </c>
      <c r="K95" s="144">
        <v>13499.8</v>
      </c>
      <c r="L95" s="144">
        <v>0</v>
      </c>
    </row>
    <row r="96" spans="1:12" x14ac:dyDescent="0.3">
      <c r="A96" s="221" t="s">
        <v>235</v>
      </c>
      <c r="B96" s="103" t="s">
        <v>37</v>
      </c>
      <c r="C96" s="144">
        <v>0</v>
      </c>
      <c r="D96" s="144">
        <v>0</v>
      </c>
      <c r="E96" s="144">
        <v>368.96</v>
      </c>
      <c r="F96" s="135">
        <v>0</v>
      </c>
      <c r="G96" s="135">
        <v>0</v>
      </c>
      <c r="H96" s="135">
        <v>0</v>
      </c>
      <c r="I96" s="144">
        <v>368.96</v>
      </c>
      <c r="J96" s="135">
        <v>0</v>
      </c>
      <c r="K96" s="144">
        <v>368.96</v>
      </c>
      <c r="L96" s="144">
        <v>0</v>
      </c>
    </row>
    <row r="97" spans="1:12" x14ac:dyDescent="0.3">
      <c r="A97" s="221" t="s">
        <v>43</v>
      </c>
      <c r="B97" s="103" t="s">
        <v>1163</v>
      </c>
      <c r="C97" s="144">
        <v>1507460.08</v>
      </c>
      <c r="D97" s="144">
        <v>0</v>
      </c>
      <c r="E97" s="135">
        <v>0</v>
      </c>
      <c r="F97" s="144">
        <v>1507460.08</v>
      </c>
      <c r="G97" s="135">
        <v>0</v>
      </c>
      <c r="H97" s="135">
        <v>0</v>
      </c>
      <c r="I97" s="135">
        <v>0</v>
      </c>
      <c r="J97" s="144">
        <v>1507460.08</v>
      </c>
      <c r="K97" s="144">
        <v>0</v>
      </c>
      <c r="L97" s="144">
        <v>0</v>
      </c>
    </row>
    <row r="98" spans="1:12" x14ac:dyDescent="0.3">
      <c r="A98" s="221" t="s">
        <v>113</v>
      </c>
      <c r="B98" s="103" t="s">
        <v>99</v>
      </c>
      <c r="C98" s="144">
        <v>0</v>
      </c>
      <c r="D98" s="144">
        <v>155975.92000000001</v>
      </c>
      <c r="E98" s="135">
        <v>0</v>
      </c>
      <c r="F98" s="135">
        <v>0</v>
      </c>
      <c r="G98" s="135">
        <v>0</v>
      </c>
      <c r="H98" s="135">
        <v>0</v>
      </c>
      <c r="I98" s="135">
        <v>0</v>
      </c>
      <c r="J98" s="135">
        <v>0</v>
      </c>
      <c r="K98" s="144">
        <v>0</v>
      </c>
      <c r="L98" s="144">
        <v>155975.92000000001</v>
      </c>
    </row>
    <row r="99" spans="1:12" x14ac:dyDescent="0.3">
      <c r="A99" s="221" t="s">
        <v>266</v>
      </c>
      <c r="B99" s="103" t="s">
        <v>850</v>
      </c>
      <c r="C99" s="144">
        <v>0</v>
      </c>
      <c r="D99" s="144">
        <v>1327757</v>
      </c>
      <c r="E99" s="135">
        <v>0</v>
      </c>
      <c r="F99" s="135">
        <v>0</v>
      </c>
      <c r="G99" s="135">
        <v>0</v>
      </c>
      <c r="H99" s="135">
        <v>0</v>
      </c>
      <c r="I99" s="135">
        <v>0</v>
      </c>
      <c r="J99" s="135">
        <v>0</v>
      </c>
      <c r="K99" s="144">
        <v>0</v>
      </c>
      <c r="L99" s="144">
        <v>1327757</v>
      </c>
    </row>
    <row r="100" spans="1:12" x14ac:dyDescent="0.3">
      <c r="A100" s="221" t="s">
        <v>461</v>
      </c>
      <c r="B100" s="103" t="s">
        <v>122</v>
      </c>
      <c r="C100" s="144">
        <v>0</v>
      </c>
      <c r="D100" s="144">
        <v>664000</v>
      </c>
      <c r="E100" s="135">
        <v>0</v>
      </c>
      <c r="F100" s="135">
        <v>0</v>
      </c>
      <c r="G100" s="135">
        <v>0</v>
      </c>
      <c r="H100" s="135">
        <v>0</v>
      </c>
      <c r="I100" s="135">
        <v>0</v>
      </c>
      <c r="J100" s="135">
        <v>0</v>
      </c>
      <c r="K100" s="144">
        <v>0</v>
      </c>
      <c r="L100" s="144">
        <v>664000</v>
      </c>
    </row>
    <row r="101" spans="1:12" x14ac:dyDescent="0.3">
      <c r="A101" s="221" t="s">
        <v>1181</v>
      </c>
      <c r="B101" s="103" t="s">
        <v>403</v>
      </c>
      <c r="C101" s="144">
        <v>0</v>
      </c>
      <c r="D101" s="144">
        <v>132775.70000000001</v>
      </c>
      <c r="E101" s="135">
        <v>0</v>
      </c>
      <c r="F101" s="135">
        <v>0</v>
      </c>
      <c r="G101" s="135">
        <v>0</v>
      </c>
      <c r="H101" s="135">
        <v>0</v>
      </c>
      <c r="I101" s="135">
        <v>0</v>
      </c>
      <c r="J101" s="135">
        <v>0</v>
      </c>
      <c r="K101" s="144">
        <v>0</v>
      </c>
      <c r="L101" s="144">
        <v>132775.70000000001</v>
      </c>
    </row>
    <row r="102" spans="1:12" x14ac:dyDescent="0.3">
      <c r="A102" s="221" t="s">
        <v>615</v>
      </c>
      <c r="B102" s="103" t="s">
        <v>735</v>
      </c>
      <c r="C102" s="144">
        <v>0</v>
      </c>
      <c r="D102" s="144">
        <v>724891.1</v>
      </c>
      <c r="E102" s="135">
        <v>0</v>
      </c>
      <c r="F102" s="144">
        <v>8309.56</v>
      </c>
      <c r="G102" s="135">
        <v>0</v>
      </c>
      <c r="H102" s="135">
        <v>0</v>
      </c>
      <c r="I102" s="135">
        <v>0</v>
      </c>
      <c r="J102" s="144">
        <v>8309.56</v>
      </c>
      <c r="K102" s="144">
        <v>0</v>
      </c>
      <c r="L102" s="144">
        <v>733200.66</v>
      </c>
    </row>
    <row r="103" spans="1:12" x14ac:dyDescent="0.3">
      <c r="A103" s="221" t="s">
        <v>960</v>
      </c>
      <c r="B103" s="103" t="s">
        <v>1020</v>
      </c>
      <c r="C103" s="144">
        <v>0</v>
      </c>
      <c r="D103" s="144">
        <v>8309.56</v>
      </c>
      <c r="E103" s="144">
        <v>8309.56</v>
      </c>
      <c r="F103" s="135">
        <v>0</v>
      </c>
      <c r="G103" s="135">
        <v>0</v>
      </c>
      <c r="H103" s="135">
        <v>0</v>
      </c>
      <c r="I103" s="144">
        <v>8309.56</v>
      </c>
      <c r="J103" s="135">
        <v>0</v>
      </c>
      <c r="K103" s="144">
        <v>0</v>
      </c>
      <c r="L103" s="144">
        <v>0</v>
      </c>
    </row>
    <row r="104" spans="1:12" x14ac:dyDescent="0.3">
      <c r="A104" s="221" t="s">
        <v>392</v>
      </c>
      <c r="B104" s="103" t="s">
        <v>577</v>
      </c>
      <c r="C104" s="144">
        <v>0</v>
      </c>
      <c r="D104" s="144">
        <v>39254</v>
      </c>
      <c r="E104" s="135">
        <v>0</v>
      </c>
      <c r="F104" s="135">
        <v>0</v>
      </c>
      <c r="G104" s="135">
        <v>0</v>
      </c>
      <c r="H104" s="135">
        <v>0</v>
      </c>
      <c r="I104" s="135">
        <v>0</v>
      </c>
      <c r="J104" s="135">
        <v>0</v>
      </c>
      <c r="K104" s="144">
        <v>0</v>
      </c>
      <c r="L104" s="144">
        <v>39254</v>
      </c>
    </row>
    <row r="105" spans="1:12" x14ac:dyDescent="0.3">
      <c r="A105" s="221" t="s">
        <v>217</v>
      </c>
      <c r="B105" s="103" t="s">
        <v>1089</v>
      </c>
      <c r="C105" s="144">
        <v>0</v>
      </c>
      <c r="D105" s="144">
        <v>16612.169999999998</v>
      </c>
      <c r="E105" s="135">
        <v>0</v>
      </c>
      <c r="F105" s="135">
        <v>0</v>
      </c>
      <c r="G105" s="135">
        <v>0</v>
      </c>
      <c r="H105" s="135">
        <v>0</v>
      </c>
      <c r="I105" s="135">
        <v>0</v>
      </c>
      <c r="J105" s="135">
        <v>0</v>
      </c>
      <c r="K105" s="144">
        <v>0</v>
      </c>
      <c r="L105" s="144">
        <v>16612.169999999998</v>
      </c>
    </row>
    <row r="106" spans="1:12" x14ac:dyDescent="0.3">
      <c r="A106" s="221" t="s">
        <v>718</v>
      </c>
      <c r="B106" s="103" t="s">
        <v>683</v>
      </c>
      <c r="C106" s="144">
        <v>7459</v>
      </c>
      <c r="D106" s="144">
        <v>0</v>
      </c>
      <c r="E106" s="135">
        <v>0</v>
      </c>
      <c r="F106" s="135">
        <v>0</v>
      </c>
      <c r="G106" s="135">
        <v>0</v>
      </c>
      <c r="H106" s="135">
        <v>0</v>
      </c>
      <c r="I106" s="135">
        <v>0</v>
      </c>
      <c r="J106" s="135">
        <v>0</v>
      </c>
      <c r="K106" s="144">
        <v>7459</v>
      </c>
      <c r="L106" s="144">
        <v>0</v>
      </c>
    </row>
    <row r="107" spans="1:12" x14ac:dyDescent="0.3">
      <c r="A107" s="221" t="s">
        <v>778</v>
      </c>
      <c r="B107" s="103" t="s">
        <v>887</v>
      </c>
      <c r="C107" s="144">
        <v>0</v>
      </c>
      <c r="D107" s="144">
        <v>0</v>
      </c>
      <c r="E107" s="144">
        <v>216565.69</v>
      </c>
      <c r="F107" s="135">
        <v>0</v>
      </c>
      <c r="G107" s="144">
        <v>11845.09</v>
      </c>
      <c r="H107" s="135">
        <v>0</v>
      </c>
      <c r="I107" s="144">
        <v>228410.78</v>
      </c>
      <c r="J107" s="135">
        <v>0</v>
      </c>
      <c r="K107" s="144">
        <v>228410.78</v>
      </c>
      <c r="L107" s="144">
        <v>0</v>
      </c>
    </row>
    <row r="108" spans="1:12" x14ac:dyDescent="0.3">
      <c r="A108" s="221" t="s">
        <v>222</v>
      </c>
      <c r="B108" s="103" t="s">
        <v>622</v>
      </c>
      <c r="C108" s="144">
        <v>0</v>
      </c>
      <c r="D108" s="144">
        <v>0</v>
      </c>
      <c r="E108" s="144">
        <v>93869.9</v>
      </c>
      <c r="F108" s="135">
        <v>0</v>
      </c>
      <c r="G108" s="144">
        <v>4797.41</v>
      </c>
      <c r="H108" s="135">
        <v>0</v>
      </c>
      <c r="I108" s="144">
        <v>98667.31</v>
      </c>
      <c r="J108" s="135">
        <v>0</v>
      </c>
      <c r="K108" s="144">
        <v>98667.31</v>
      </c>
      <c r="L108" s="144">
        <v>0</v>
      </c>
    </row>
    <row r="109" spans="1:12" x14ac:dyDescent="0.3">
      <c r="A109" s="221" t="s">
        <v>366</v>
      </c>
      <c r="B109" s="103" t="s">
        <v>726</v>
      </c>
      <c r="C109" s="144">
        <v>0</v>
      </c>
      <c r="D109" s="144">
        <v>0</v>
      </c>
      <c r="E109" s="144">
        <v>146359.44</v>
      </c>
      <c r="F109" s="135">
        <v>0</v>
      </c>
      <c r="G109" s="144">
        <v>7489.15</v>
      </c>
      <c r="H109" s="135">
        <v>0</v>
      </c>
      <c r="I109" s="144">
        <v>153848.59</v>
      </c>
      <c r="J109" s="135">
        <v>0</v>
      </c>
      <c r="K109" s="144">
        <v>153848.59</v>
      </c>
      <c r="L109" s="144">
        <v>0</v>
      </c>
    </row>
    <row r="110" spans="1:12" x14ac:dyDescent="0.3">
      <c r="A110" s="221" t="s">
        <v>965</v>
      </c>
      <c r="B110" s="103" t="s">
        <v>548</v>
      </c>
      <c r="C110" s="144">
        <v>0</v>
      </c>
      <c r="D110" s="144">
        <v>0</v>
      </c>
      <c r="E110" s="144">
        <v>587.49</v>
      </c>
      <c r="F110" s="135">
        <v>0</v>
      </c>
      <c r="G110" s="135">
        <v>0</v>
      </c>
      <c r="H110" s="135">
        <v>0</v>
      </c>
      <c r="I110" s="144">
        <v>587.49</v>
      </c>
      <c r="J110" s="135">
        <v>0</v>
      </c>
      <c r="K110" s="144">
        <v>587.49</v>
      </c>
      <c r="L110" s="144">
        <v>0</v>
      </c>
    </row>
    <row r="111" spans="1:12" x14ac:dyDescent="0.3">
      <c r="A111" s="221" t="s">
        <v>457</v>
      </c>
      <c r="B111" s="103" t="s">
        <v>1091</v>
      </c>
      <c r="C111" s="144">
        <v>0</v>
      </c>
      <c r="D111" s="144">
        <v>0</v>
      </c>
      <c r="E111" s="144">
        <v>70181.279999999999</v>
      </c>
      <c r="F111" s="135">
        <v>0</v>
      </c>
      <c r="G111" s="144">
        <v>5656.91</v>
      </c>
      <c r="H111" s="135">
        <v>0</v>
      </c>
      <c r="I111" s="144">
        <v>75838.19</v>
      </c>
      <c r="J111" s="135">
        <v>0</v>
      </c>
      <c r="K111" s="144">
        <v>75838.19</v>
      </c>
      <c r="L111" s="144">
        <v>0</v>
      </c>
    </row>
    <row r="112" spans="1:12" x14ac:dyDescent="0.3">
      <c r="A112" s="221" t="s">
        <v>866</v>
      </c>
      <c r="B112" s="103" t="s">
        <v>1085</v>
      </c>
      <c r="C112" s="144">
        <v>0</v>
      </c>
      <c r="D112" s="144">
        <v>0</v>
      </c>
      <c r="E112" s="144">
        <v>3574.87</v>
      </c>
      <c r="F112" s="135">
        <v>0</v>
      </c>
      <c r="G112" s="144">
        <v>7.53</v>
      </c>
      <c r="H112" s="135">
        <v>0</v>
      </c>
      <c r="I112" s="144">
        <v>3582.4</v>
      </c>
      <c r="J112" s="135">
        <v>0</v>
      </c>
      <c r="K112" s="144">
        <v>3582.4</v>
      </c>
      <c r="L112" s="144">
        <v>0</v>
      </c>
    </row>
    <row r="113" spans="1:12" x14ac:dyDescent="0.3">
      <c r="A113" s="221" t="s">
        <v>1207</v>
      </c>
      <c r="B113" s="103" t="s">
        <v>489</v>
      </c>
      <c r="C113" s="144">
        <v>0</v>
      </c>
      <c r="D113" s="144">
        <v>0</v>
      </c>
      <c r="E113" s="144">
        <v>3392616.22</v>
      </c>
      <c r="F113" s="135">
        <v>0</v>
      </c>
      <c r="G113" s="144">
        <v>195552.16</v>
      </c>
      <c r="H113" s="135">
        <v>0</v>
      </c>
      <c r="I113" s="144">
        <v>3588168.38</v>
      </c>
      <c r="J113" s="135">
        <v>0</v>
      </c>
      <c r="K113" s="144">
        <v>3588168.38</v>
      </c>
      <c r="L113" s="144">
        <v>0</v>
      </c>
    </row>
    <row r="114" spans="1:12" x14ac:dyDescent="0.3">
      <c r="A114" s="221" t="s">
        <v>446</v>
      </c>
      <c r="B114" s="103" t="s">
        <v>287</v>
      </c>
      <c r="C114" s="144">
        <v>0</v>
      </c>
      <c r="D114" s="144">
        <v>0</v>
      </c>
      <c r="E114" s="144">
        <v>1690.67</v>
      </c>
      <c r="F114" s="135">
        <v>0</v>
      </c>
      <c r="G114" s="144">
        <v>47.62</v>
      </c>
      <c r="H114" s="135">
        <v>0</v>
      </c>
      <c r="I114" s="144">
        <v>1738.29</v>
      </c>
      <c r="J114" s="135">
        <v>0</v>
      </c>
      <c r="K114" s="144">
        <v>1738.29</v>
      </c>
      <c r="L114" s="144">
        <v>0</v>
      </c>
    </row>
    <row r="115" spans="1:12" x14ac:dyDescent="0.3">
      <c r="A115" s="221" t="s">
        <v>1105</v>
      </c>
      <c r="B115" s="103" t="s">
        <v>1041</v>
      </c>
      <c r="C115" s="144">
        <v>0</v>
      </c>
      <c r="D115" s="144">
        <v>0</v>
      </c>
      <c r="E115" s="144">
        <v>2001.84</v>
      </c>
      <c r="F115" s="135">
        <v>0</v>
      </c>
      <c r="G115" s="144">
        <v>18.670000000000002</v>
      </c>
      <c r="H115" s="135">
        <v>0</v>
      </c>
      <c r="I115" s="144">
        <v>2020.51</v>
      </c>
      <c r="J115" s="135">
        <v>0</v>
      </c>
      <c r="K115" s="144">
        <v>2020.51</v>
      </c>
      <c r="L115" s="144">
        <v>0</v>
      </c>
    </row>
    <row r="116" spans="1:12" x14ac:dyDescent="0.3">
      <c r="A116" s="221" t="s">
        <v>151</v>
      </c>
      <c r="B116" s="103" t="s">
        <v>1095</v>
      </c>
      <c r="C116" s="144">
        <v>0</v>
      </c>
      <c r="D116" s="144">
        <v>0</v>
      </c>
      <c r="E116" s="144">
        <v>38.18</v>
      </c>
      <c r="F116" s="135">
        <v>0</v>
      </c>
      <c r="G116" s="135">
        <v>0</v>
      </c>
      <c r="H116" s="135">
        <v>0</v>
      </c>
      <c r="I116" s="144">
        <v>38.18</v>
      </c>
      <c r="J116" s="135">
        <v>0</v>
      </c>
      <c r="K116" s="144">
        <v>38.18</v>
      </c>
      <c r="L116" s="144">
        <v>0</v>
      </c>
    </row>
    <row r="117" spans="1:12" x14ac:dyDescent="0.3">
      <c r="A117" s="221" t="s">
        <v>320</v>
      </c>
      <c r="B117" s="103" t="s">
        <v>1203</v>
      </c>
      <c r="C117" s="144">
        <v>0</v>
      </c>
      <c r="D117" s="144">
        <v>0</v>
      </c>
      <c r="E117" s="144">
        <v>40.6</v>
      </c>
      <c r="F117" s="135">
        <v>0</v>
      </c>
      <c r="G117" s="135">
        <v>0</v>
      </c>
      <c r="H117" s="135">
        <v>0</v>
      </c>
      <c r="I117" s="144">
        <v>40.6</v>
      </c>
      <c r="J117" s="135">
        <v>0</v>
      </c>
      <c r="K117" s="144">
        <v>40.6</v>
      </c>
      <c r="L117" s="144">
        <v>0</v>
      </c>
    </row>
    <row r="118" spans="1:12" x14ac:dyDescent="0.3">
      <c r="A118" s="221" t="s">
        <v>1235</v>
      </c>
      <c r="B118" s="103" t="s">
        <v>709</v>
      </c>
      <c r="C118" s="144">
        <v>0</v>
      </c>
      <c r="D118" s="144">
        <v>0</v>
      </c>
      <c r="E118" s="144">
        <v>1805.24</v>
      </c>
      <c r="F118" s="135">
        <v>0</v>
      </c>
      <c r="G118" s="144">
        <v>165.23</v>
      </c>
      <c r="H118" s="135">
        <v>0</v>
      </c>
      <c r="I118" s="144">
        <v>1970.47</v>
      </c>
      <c r="J118" s="135">
        <v>0</v>
      </c>
      <c r="K118" s="144">
        <v>1970.47</v>
      </c>
      <c r="L118" s="144">
        <v>0</v>
      </c>
    </row>
    <row r="119" spans="1:12" x14ac:dyDescent="0.3">
      <c r="A119" s="221" t="s">
        <v>888</v>
      </c>
      <c r="B119" s="103" t="s">
        <v>980</v>
      </c>
      <c r="C119" s="144">
        <v>0</v>
      </c>
      <c r="D119" s="144">
        <v>0</v>
      </c>
      <c r="E119" s="144">
        <v>26.09</v>
      </c>
      <c r="F119" s="135">
        <v>0</v>
      </c>
      <c r="G119" s="135">
        <v>0</v>
      </c>
      <c r="H119" s="135">
        <v>0</v>
      </c>
      <c r="I119" s="144">
        <v>26.09</v>
      </c>
      <c r="J119" s="135">
        <v>0</v>
      </c>
      <c r="K119" s="144">
        <v>26.09</v>
      </c>
      <c r="L119" s="144">
        <v>0</v>
      </c>
    </row>
    <row r="120" spans="1:12" x14ac:dyDescent="0.3">
      <c r="A120" s="221" t="s">
        <v>673</v>
      </c>
      <c r="B120" s="103" t="s">
        <v>887</v>
      </c>
      <c r="C120" s="144">
        <v>0</v>
      </c>
      <c r="D120" s="144">
        <v>0</v>
      </c>
      <c r="E120" s="144">
        <v>360.19</v>
      </c>
      <c r="F120" s="135">
        <v>0</v>
      </c>
      <c r="G120" s="144">
        <v>22.29</v>
      </c>
      <c r="H120" s="135">
        <v>0</v>
      </c>
      <c r="I120" s="144">
        <v>382.48</v>
      </c>
      <c r="J120" s="135">
        <v>0</v>
      </c>
      <c r="K120" s="144">
        <v>382.48</v>
      </c>
      <c r="L120" s="144">
        <v>0</v>
      </c>
    </row>
    <row r="121" spans="1:12" x14ac:dyDescent="0.3">
      <c r="A121" s="221" t="s">
        <v>408</v>
      </c>
      <c r="B121" s="103" t="s">
        <v>204</v>
      </c>
      <c r="C121" s="144">
        <v>0</v>
      </c>
      <c r="D121" s="144">
        <v>0</v>
      </c>
      <c r="E121" s="144">
        <v>66543.399999999994</v>
      </c>
      <c r="F121" s="135">
        <v>0</v>
      </c>
      <c r="G121" s="144">
        <v>4782.76</v>
      </c>
      <c r="H121" s="135">
        <v>0</v>
      </c>
      <c r="I121" s="144">
        <v>71326.16</v>
      </c>
      <c r="J121" s="135">
        <v>0</v>
      </c>
      <c r="K121" s="144">
        <v>71326.16</v>
      </c>
      <c r="L121" s="144">
        <v>0</v>
      </c>
    </row>
    <row r="122" spans="1:12" x14ac:dyDescent="0.3">
      <c r="A122" s="221" t="s">
        <v>1259</v>
      </c>
      <c r="B122" s="103" t="s">
        <v>571</v>
      </c>
      <c r="C122" s="144">
        <v>0</v>
      </c>
      <c r="D122" s="144">
        <v>0</v>
      </c>
      <c r="E122" s="144">
        <v>23738.9</v>
      </c>
      <c r="F122" s="135">
        <v>0</v>
      </c>
      <c r="G122" s="144">
        <v>1710</v>
      </c>
      <c r="H122" s="135">
        <v>0</v>
      </c>
      <c r="I122" s="144">
        <v>25448.9</v>
      </c>
      <c r="J122" s="135">
        <v>0</v>
      </c>
      <c r="K122" s="144">
        <v>25448.9</v>
      </c>
      <c r="L122" s="144">
        <v>0</v>
      </c>
    </row>
    <row r="123" spans="1:12" x14ac:dyDescent="0.3">
      <c r="A123" s="221" t="s">
        <v>721</v>
      </c>
      <c r="B123" s="103" t="s">
        <v>550</v>
      </c>
      <c r="C123" s="144">
        <v>0</v>
      </c>
      <c r="D123" s="144">
        <v>0</v>
      </c>
      <c r="E123" s="144">
        <v>47038.66</v>
      </c>
      <c r="F123" s="135">
        <v>0</v>
      </c>
      <c r="G123" s="144">
        <v>2438.83</v>
      </c>
      <c r="H123" s="135">
        <v>0</v>
      </c>
      <c r="I123" s="144">
        <v>49477.49</v>
      </c>
      <c r="J123" s="135">
        <v>0</v>
      </c>
      <c r="K123" s="144">
        <v>49477.49</v>
      </c>
      <c r="L123" s="144">
        <v>0</v>
      </c>
    </row>
    <row r="124" spans="1:12" x14ac:dyDescent="0.3">
      <c r="A124" s="221" t="s">
        <v>59</v>
      </c>
      <c r="B124" s="103" t="s">
        <v>650</v>
      </c>
      <c r="C124" s="144">
        <v>0</v>
      </c>
      <c r="D124" s="144">
        <v>0</v>
      </c>
      <c r="E124" s="144">
        <v>43549.86</v>
      </c>
      <c r="F124" s="135">
        <v>0</v>
      </c>
      <c r="G124" s="144">
        <v>6898.72</v>
      </c>
      <c r="H124" s="135">
        <v>0</v>
      </c>
      <c r="I124" s="144">
        <v>50448.58</v>
      </c>
      <c r="J124" s="135">
        <v>0</v>
      </c>
      <c r="K124" s="144">
        <v>50448.58</v>
      </c>
      <c r="L124" s="144">
        <v>0</v>
      </c>
    </row>
    <row r="125" spans="1:12" x14ac:dyDescent="0.3">
      <c r="A125" s="246" t="s">
        <v>244</v>
      </c>
      <c r="B125" s="70" t="s">
        <v>434</v>
      </c>
      <c r="C125" s="176">
        <v>0</v>
      </c>
      <c r="D125" s="176">
        <v>0</v>
      </c>
      <c r="E125" s="176">
        <v>2654.26</v>
      </c>
      <c r="F125" s="162">
        <v>0</v>
      </c>
      <c r="G125" s="176">
        <v>1101.3</v>
      </c>
      <c r="H125" s="162">
        <v>0</v>
      </c>
      <c r="I125" s="176">
        <v>3755.56</v>
      </c>
      <c r="J125" s="162">
        <v>0</v>
      </c>
      <c r="K125" s="176">
        <v>3755.56</v>
      </c>
      <c r="L125" s="176">
        <v>0</v>
      </c>
    </row>
    <row r="126" spans="1:12" x14ac:dyDescent="0.3">
      <c r="A126" s="246" t="s">
        <v>1050</v>
      </c>
      <c r="B126" s="70" t="s">
        <v>637</v>
      </c>
      <c r="C126" s="176">
        <v>0</v>
      </c>
      <c r="D126" s="176">
        <v>0</v>
      </c>
      <c r="E126" s="162">
        <v>0</v>
      </c>
      <c r="F126" s="162">
        <v>0</v>
      </c>
      <c r="G126" s="176">
        <v>38.18</v>
      </c>
      <c r="H126" s="162">
        <v>0</v>
      </c>
      <c r="I126" s="176">
        <v>38.18</v>
      </c>
      <c r="J126" s="162">
        <v>0</v>
      </c>
      <c r="K126" s="176">
        <v>38.18</v>
      </c>
      <c r="L126" s="176">
        <v>0</v>
      </c>
    </row>
    <row r="127" spans="1:12" x14ac:dyDescent="0.3">
      <c r="A127" s="246" t="s">
        <v>44</v>
      </c>
      <c r="B127" s="70" t="s">
        <v>637</v>
      </c>
      <c r="C127" s="176">
        <v>0</v>
      </c>
      <c r="D127" s="176">
        <v>0</v>
      </c>
      <c r="E127" s="176">
        <v>2012162.66</v>
      </c>
      <c r="F127" s="162">
        <v>0</v>
      </c>
      <c r="G127" s="176">
        <v>73038.78</v>
      </c>
      <c r="H127" s="162">
        <v>0</v>
      </c>
      <c r="I127" s="176">
        <v>2085201.44</v>
      </c>
      <c r="J127" s="162">
        <v>0</v>
      </c>
      <c r="K127" s="176">
        <v>2085201.44</v>
      </c>
      <c r="L127" s="176">
        <v>0</v>
      </c>
    </row>
    <row r="128" spans="1:12" x14ac:dyDescent="0.3">
      <c r="A128" s="246" t="s">
        <v>500</v>
      </c>
      <c r="B128" s="70" t="s">
        <v>33</v>
      </c>
      <c r="C128" s="176">
        <v>0</v>
      </c>
      <c r="D128" s="176">
        <v>0</v>
      </c>
      <c r="E128" s="176">
        <v>8547774.8300000001</v>
      </c>
      <c r="F128" s="162">
        <v>0</v>
      </c>
      <c r="G128" s="176">
        <v>432216.97</v>
      </c>
      <c r="H128" s="162">
        <v>0</v>
      </c>
      <c r="I128" s="176">
        <v>8979991.8000000007</v>
      </c>
      <c r="J128" s="162">
        <v>0</v>
      </c>
      <c r="K128" s="176">
        <v>8979991.8000000007</v>
      </c>
      <c r="L128" s="176">
        <v>0</v>
      </c>
    </row>
    <row r="129" spans="1:12" x14ac:dyDescent="0.3">
      <c r="A129" s="246" t="s">
        <v>219</v>
      </c>
      <c r="B129" s="70" t="s">
        <v>637</v>
      </c>
      <c r="C129" s="176">
        <v>0</v>
      </c>
      <c r="D129" s="176">
        <v>0</v>
      </c>
      <c r="E129" s="176">
        <v>3578.02</v>
      </c>
      <c r="F129" s="162">
        <v>0</v>
      </c>
      <c r="G129" s="176">
        <v>10</v>
      </c>
      <c r="H129" s="162">
        <v>0</v>
      </c>
      <c r="I129" s="176">
        <v>3588.02</v>
      </c>
      <c r="J129" s="162">
        <v>0</v>
      </c>
      <c r="K129" s="176">
        <v>3588.02</v>
      </c>
      <c r="L129" s="176">
        <v>0</v>
      </c>
    </row>
    <row r="130" spans="1:12" x14ac:dyDescent="0.3">
      <c r="A130" s="246" t="s">
        <v>140</v>
      </c>
      <c r="B130" s="70" t="s">
        <v>808</v>
      </c>
      <c r="C130" s="176">
        <v>0</v>
      </c>
      <c r="D130" s="176">
        <v>0</v>
      </c>
      <c r="E130" s="176">
        <v>3218.96</v>
      </c>
      <c r="F130" s="162">
        <v>0</v>
      </c>
      <c r="G130" s="176">
        <v>584.09</v>
      </c>
      <c r="H130" s="162">
        <v>0</v>
      </c>
      <c r="I130" s="176">
        <v>3803.05</v>
      </c>
      <c r="J130" s="162">
        <v>0</v>
      </c>
      <c r="K130" s="176">
        <v>3803.05</v>
      </c>
      <c r="L130" s="176">
        <v>0</v>
      </c>
    </row>
    <row r="131" spans="1:12" x14ac:dyDescent="0.3">
      <c r="A131" s="246" t="s">
        <v>1260</v>
      </c>
      <c r="B131" s="70" t="s">
        <v>208</v>
      </c>
      <c r="C131" s="176">
        <v>0</v>
      </c>
      <c r="D131" s="176">
        <v>0</v>
      </c>
      <c r="E131" s="176">
        <v>973.14</v>
      </c>
      <c r="F131" s="162">
        <v>0</v>
      </c>
      <c r="G131" s="176">
        <v>24.1</v>
      </c>
      <c r="H131" s="162">
        <v>0</v>
      </c>
      <c r="I131" s="176">
        <v>997.24</v>
      </c>
      <c r="J131" s="162">
        <v>0</v>
      </c>
      <c r="K131" s="176">
        <v>997.24</v>
      </c>
      <c r="L131" s="176">
        <v>0</v>
      </c>
    </row>
    <row r="132" spans="1:12" x14ac:dyDescent="0.3">
      <c r="A132" s="246" t="s">
        <v>862</v>
      </c>
      <c r="B132" s="70" t="s">
        <v>953</v>
      </c>
      <c r="C132" s="176">
        <v>0</v>
      </c>
      <c r="D132" s="176">
        <v>0</v>
      </c>
      <c r="E132" s="176">
        <v>888.76</v>
      </c>
      <c r="F132" s="162">
        <v>0</v>
      </c>
      <c r="G132" s="176">
        <v>110.88</v>
      </c>
      <c r="H132" s="162">
        <v>0</v>
      </c>
      <c r="I132" s="176">
        <v>999.64</v>
      </c>
      <c r="J132" s="162">
        <v>0</v>
      </c>
      <c r="K132" s="176">
        <v>999.64</v>
      </c>
      <c r="L132" s="176">
        <v>0</v>
      </c>
    </row>
    <row r="133" spans="1:12" x14ac:dyDescent="0.3">
      <c r="A133" s="246" t="s">
        <v>701</v>
      </c>
      <c r="B133" s="70" t="s">
        <v>465</v>
      </c>
      <c r="C133" s="176">
        <v>0</v>
      </c>
      <c r="D133" s="176">
        <v>0</v>
      </c>
      <c r="E133" s="176">
        <v>756804.45</v>
      </c>
      <c r="F133" s="162">
        <v>0</v>
      </c>
      <c r="G133" s="176">
        <v>65747.59</v>
      </c>
      <c r="H133" s="162">
        <v>0</v>
      </c>
      <c r="I133" s="176">
        <v>822552.04</v>
      </c>
      <c r="J133" s="162">
        <v>0</v>
      </c>
      <c r="K133" s="176">
        <v>822552.04</v>
      </c>
      <c r="L133" s="176">
        <v>0</v>
      </c>
    </row>
    <row r="134" spans="1:12" x14ac:dyDescent="0.3">
      <c r="A134" s="246" t="s">
        <v>356</v>
      </c>
      <c r="B134" s="70" t="s">
        <v>798</v>
      </c>
      <c r="C134" s="176">
        <v>0</v>
      </c>
      <c r="D134" s="176">
        <v>0</v>
      </c>
      <c r="E134" s="176">
        <v>276025.28999999998</v>
      </c>
      <c r="F134" s="162">
        <v>0</v>
      </c>
      <c r="G134" s="176">
        <v>22888.82</v>
      </c>
      <c r="H134" s="162">
        <v>0</v>
      </c>
      <c r="I134" s="176">
        <v>298914.11</v>
      </c>
      <c r="J134" s="162">
        <v>0</v>
      </c>
      <c r="K134" s="176">
        <v>298914.11</v>
      </c>
      <c r="L134" s="176">
        <v>0</v>
      </c>
    </row>
    <row r="135" spans="1:12" x14ac:dyDescent="0.3">
      <c r="A135" s="246" t="s">
        <v>1254</v>
      </c>
      <c r="B135" s="70" t="s">
        <v>55</v>
      </c>
      <c r="C135" s="176">
        <v>0</v>
      </c>
      <c r="D135" s="176">
        <v>0</v>
      </c>
      <c r="E135" s="176">
        <v>15678.15</v>
      </c>
      <c r="F135" s="162">
        <v>0</v>
      </c>
      <c r="G135" s="176">
        <v>625.54999999999995</v>
      </c>
      <c r="H135" s="162">
        <v>0</v>
      </c>
      <c r="I135" s="176">
        <v>16303.7</v>
      </c>
      <c r="J135" s="162">
        <v>0</v>
      </c>
      <c r="K135" s="176">
        <v>16303.7</v>
      </c>
      <c r="L135" s="176">
        <v>0</v>
      </c>
    </row>
    <row r="136" spans="1:12" x14ac:dyDescent="0.3">
      <c r="A136" s="246" t="s">
        <v>477</v>
      </c>
      <c r="B136" s="70" t="s">
        <v>55</v>
      </c>
      <c r="C136" s="176">
        <v>0</v>
      </c>
      <c r="D136" s="176">
        <v>0</v>
      </c>
      <c r="E136" s="176">
        <v>2098.8000000000002</v>
      </c>
      <c r="F136" s="162">
        <v>0</v>
      </c>
      <c r="G136" s="176">
        <v>6.6</v>
      </c>
      <c r="H136" s="162">
        <v>0</v>
      </c>
      <c r="I136" s="176">
        <v>2105.4</v>
      </c>
      <c r="J136" s="162">
        <v>0</v>
      </c>
      <c r="K136" s="176">
        <v>2105.4</v>
      </c>
      <c r="L136" s="176">
        <v>0</v>
      </c>
    </row>
    <row r="137" spans="1:12" x14ac:dyDescent="0.3">
      <c r="A137" s="246" t="s">
        <v>663</v>
      </c>
      <c r="B137" s="70" t="s">
        <v>27</v>
      </c>
      <c r="C137" s="176">
        <v>0</v>
      </c>
      <c r="D137" s="176">
        <v>0</v>
      </c>
      <c r="E137" s="176">
        <v>8817.61</v>
      </c>
      <c r="F137" s="162">
        <v>0</v>
      </c>
      <c r="G137" s="162">
        <v>0</v>
      </c>
      <c r="H137" s="162">
        <v>0</v>
      </c>
      <c r="I137" s="176">
        <v>8817.61</v>
      </c>
      <c r="J137" s="162">
        <v>0</v>
      </c>
      <c r="K137" s="176">
        <v>8817.61</v>
      </c>
      <c r="L137" s="176">
        <v>0</v>
      </c>
    </row>
    <row r="138" spans="1:12" x14ac:dyDescent="0.3">
      <c r="A138" s="246" t="s">
        <v>938</v>
      </c>
      <c r="B138" s="70" t="s">
        <v>220</v>
      </c>
      <c r="C138" s="176">
        <v>0</v>
      </c>
      <c r="D138" s="176">
        <v>0</v>
      </c>
      <c r="E138" s="176">
        <v>262.07</v>
      </c>
      <c r="F138" s="162">
        <v>0</v>
      </c>
      <c r="G138" s="176">
        <v>570</v>
      </c>
      <c r="H138" s="162">
        <v>0</v>
      </c>
      <c r="I138" s="176">
        <v>832.07</v>
      </c>
      <c r="J138" s="162">
        <v>0</v>
      </c>
      <c r="K138" s="176">
        <v>832.07</v>
      </c>
      <c r="L138" s="176">
        <v>0</v>
      </c>
    </row>
    <row r="139" spans="1:12" x14ac:dyDescent="0.3">
      <c r="A139" s="246" t="s">
        <v>531</v>
      </c>
      <c r="B139" s="70" t="s">
        <v>1161</v>
      </c>
      <c r="C139" s="176">
        <v>0</v>
      </c>
      <c r="D139" s="176">
        <v>0</v>
      </c>
      <c r="E139" s="176">
        <v>3061.06</v>
      </c>
      <c r="F139" s="162">
        <v>0</v>
      </c>
      <c r="G139" s="176">
        <v>369.95</v>
      </c>
      <c r="H139" s="162">
        <v>0</v>
      </c>
      <c r="I139" s="176">
        <v>3431.01</v>
      </c>
      <c r="J139" s="162">
        <v>0</v>
      </c>
      <c r="K139" s="176">
        <v>3431.01</v>
      </c>
      <c r="L139" s="176">
        <v>0</v>
      </c>
    </row>
    <row r="140" spans="1:12" x14ac:dyDescent="0.3">
      <c r="A140" s="246" t="s">
        <v>409</v>
      </c>
      <c r="B140" s="70" t="s">
        <v>1119</v>
      </c>
      <c r="C140" s="176">
        <v>0</v>
      </c>
      <c r="D140" s="176">
        <v>0</v>
      </c>
      <c r="E140" s="176">
        <v>0.02</v>
      </c>
      <c r="F140" s="162">
        <v>0</v>
      </c>
      <c r="G140" s="176">
        <v>-0.02</v>
      </c>
      <c r="H140" s="162">
        <v>0</v>
      </c>
      <c r="I140" s="176">
        <v>0</v>
      </c>
      <c r="J140" s="162">
        <v>0</v>
      </c>
      <c r="K140" s="176">
        <v>0</v>
      </c>
      <c r="L140" s="176">
        <v>0</v>
      </c>
    </row>
    <row r="141" spans="1:12" x14ac:dyDescent="0.3">
      <c r="A141" s="246" t="s">
        <v>209</v>
      </c>
      <c r="B141" s="70" t="s">
        <v>1119</v>
      </c>
      <c r="C141" s="176">
        <v>0</v>
      </c>
      <c r="D141" s="176">
        <v>0</v>
      </c>
      <c r="E141" s="176">
        <v>10692.13</v>
      </c>
      <c r="F141" s="162">
        <v>0</v>
      </c>
      <c r="G141" s="176">
        <v>10306.61</v>
      </c>
      <c r="H141" s="162">
        <v>0</v>
      </c>
      <c r="I141" s="176">
        <v>20998.74</v>
      </c>
      <c r="J141" s="162">
        <v>0</v>
      </c>
      <c r="K141" s="176">
        <v>20998.74</v>
      </c>
      <c r="L141" s="176">
        <v>0</v>
      </c>
    </row>
    <row r="142" spans="1:12" x14ac:dyDescent="0.3">
      <c r="A142" s="246" t="s">
        <v>505</v>
      </c>
      <c r="B142" s="70" t="s">
        <v>1119</v>
      </c>
      <c r="C142" s="176">
        <v>0</v>
      </c>
      <c r="D142" s="176">
        <v>0</v>
      </c>
      <c r="E142" s="176">
        <v>14.56</v>
      </c>
      <c r="F142" s="162">
        <v>0</v>
      </c>
      <c r="G142" s="176">
        <v>400</v>
      </c>
      <c r="H142" s="162">
        <v>0</v>
      </c>
      <c r="I142" s="176">
        <v>414.56</v>
      </c>
      <c r="J142" s="162">
        <v>0</v>
      </c>
      <c r="K142" s="176">
        <v>414.56</v>
      </c>
      <c r="L142" s="176">
        <v>0</v>
      </c>
    </row>
    <row r="143" spans="1:12" x14ac:dyDescent="0.3">
      <c r="A143" s="246" t="s">
        <v>1144</v>
      </c>
      <c r="B143" s="70" t="s">
        <v>37</v>
      </c>
      <c r="C143" s="176">
        <v>0</v>
      </c>
      <c r="D143" s="176">
        <v>0</v>
      </c>
      <c r="E143" s="176">
        <v>275.18</v>
      </c>
      <c r="F143" s="162">
        <v>0</v>
      </c>
      <c r="G143" s="162">
        <v>0</v>
      </c>
      <c r="H143" s="162">
        <v>0</v>
      </c>
      <c r="I143" s="176">
        <v>275.18</v>
      </c>
      <c r="J143" s="162">
        <v>0</v>
      </c>
      <c r="K143" s="176">
        <v>275.18</v>
      </c>
      <c r="L143" s="176">
        <v>0</v>
      </c>
    </row>
    <row r="144" spans="1:12" x14ac:dyDescent="0.3">
      <c r="A144" s="246" t="s">
        <v>1010</v>
      </c>
      <c r="B144" s="70" t="s">
        <v>668</v>
      </c>
      <c r="C144" s="176">
        <v>0</v>
      </c>
      <c r="D144" s="176">
        <v>0</v>
      </c>
      <c r="E144" s="176">
        <v>263592</v>
      </c>
      <c r="F144" s="162">
        <v>0</v>
      </c>
      <c r="G144" s="176">
        <v>107962</v>
      </c>
      <c r="H144" s="162">
        <v>0</v>
      </c>
      <c r="I144" s="176">
        <v>371554</v>
      </c>
      <c r="J144" s="162">
        <v>0</v>
      </c>
      <c r="K144" s="176">
        <v>371554</v>
      </c>
      <c r="L144" s="176">
        <v>0</v>
      </c>
    </row>
    <row r="145" spans="1:12" x14ac:dyDescent="0.3">
      <c r="A145" s="246" t="s">
        <v>75</v>
      </c>
      <c r="B145" s="70" t="s">
        <v>665</v>
      </c>
      <c r="C145" s="176">
        <v>0</v>
      </c>
      <c r="D145" s="176">
        <v>0</v>
      </c>
      <c r="E145" s="176">
        <v>200.36</v>
      </c>
      <c r="F145" s="162">
        <v>0</v>
      </c>
      <c r="G145" s="162">
        <v>0</v>
      </c>
      <c r="H145" s="162">
        <v>0</v>
      </c>
      <c r="I145" s="176">
        <v>200.36</v>
      </c>
      <c r="J145" s="162">
        <v>0</v>
      </c>
      <c r="K145" s="176">
        <v>200.36</v>
      </c>
      <c r="L145" s="176">
        <v>0</v>
      </c>
    </row>
    <row r="146" spans="1:12" x14ac:dyDescent="0.3">
      <c r="A146" s="246" t="s">
        <v>486</v>
      </c>
      <c r="B146" s="70" t="s">
        <v>831</v>
      </c>
      <c r="C146" s="176">
        <v>0</v>
      </c>
      <c r="D146" s="176">
        <v>0</v>
      </c>
      <c r="E146" s="176">
        <v>6695.92</v>
      </c>
      <c r="F146" s="162">
        <v>0</v>
      </c>
      <c r="G146" s="176">
        <v>9306.5</v>
      </c>
      <c r="H146" s="162">
        <v>0</v>
      </c>
      <c r="I146" s="176">
        <v>16002.42</v>
      </c>
      <c r="J146" s="162">
        <v>0</v>
      </c>
      <c r="K146" s="176">
        <v>16002.42</v>
      </c>
      <c r="L146" s="176">
        <v>0</v>
      </c>
    </row>
    <row r="147" spans="1:12" x14ac:dyDescent="0.3">
      <c r="A147" s="246" t="s">
        <v>382</v>
      </c>
      <c r="B147" s="70" t="s">
        <v>863</v>
      </c>
      <c r="C147" s="176">
        <v>0</v>
      </c>
      <c r="D147" s="176">
        <v>0</v>
      </c>
      <c r="E147" s="176">
        <v>37019.160000000003</v>
      </c>
      <c r="F147" s="162">
        <v>0</v>
      </c>
      <c r="G147" s="176">
        <v>2107.65</v>
      </c>
      <c r="H147" s="162">
        <v>0</v>
      </c>
      <c r="I147" s="176">
        <v>39126.81</v>
      </c>
      <c r="J147" s="162">
        <v>0</v>
      </c>
      <c r="K147" s="176">
        <v>39126.81</v>
      </c>
      <c r="L147" s="176">
        <v>0</v>
      </c>
    </row>
    <row r="148" spans="1:12" x14ac:dyDescent="0.3">
      <c r="A148" s="246" t="s">
        <v>3</v>
      </c>
      <c r="B148" s="70" t="s">
        <v>1047</v>
      </c>
      <c r="C148" s="176">
        <v>0</v>
      </c>
      <c r="D148" s="176">
        <v>0</v>
      </c>
      <c r="E148" s="176">
        <v>500</v>
      </c>
      <c r="F148" s="162">
        <v>0</v>
      </c>
      <c r="G148" s="162">
        <v>0</v>
      </c>
      <c r="H148" s="162">
        <v>0</v>
      </c>
      <c r="I148" s="176">
        <v>500</v>
      </c>
      <c r="J148" s="162">
        <v>0</v>
      </c>
      <c r="K148" s="176">
        <v>500</v>
      </c>
      <c r="L148" s="176">
        <v>0</v>
      </c>
    </row>
    <row r="149" spans="1:12" x14ac:dyDescent="0.3">
      <c r="A149" s="246" t="s">
        <v>1172</v>
      </c>
      <c r="B149" s="70" t="s">
        <v>1059</v>
      </c>
      <c r="C149" s="176">
        <v>0</v>
      </c>
      <c r="D149" s="176">
        <v>0</v>
      </c>
      <c r="E149" s="176">
        <v>4.9400000000000004</v>
      </c>
      <c r="F149" s="162">
        <v>0</v>
      </c>
      <c r="G149" s="176">
        <v>20938.3</v>
      </c>
      <c r="H149" s="162">
        <v>0</v>
      </c>
      <c r="I149" s="176">
        <v>20943.240000000002</v>
      </c>
      <c r="J149" s="162">
        <v>0</v>
      </c>
      <c r="K149" s="176">
        <v>20943.240000000002</v>
      </c>
      <c r="L149" s="176">
        <v>0</v>
      </c>
    </row>
    <row r="150" spans="1:12" x14ac:dyDescent="0.3">
      <c r="A150" s="246" t="s">
        <v>288</v>
      </c>
      <c r="B150" s="70" t="s">
        <v>537</v>
      </c>
      <c r="C150" s="176">
        <v>0</v>
      </c>
      <c r="D150" s="176">
        <v>0</v>
      </c>
      <c r="E150" s="176">
        <v>24.71</v>
      </c>
      <c r="F150" s="162">
        <v>0</v>
      </c>
      <c r="G150" s="176">
        <v>3.46</v>
      </c>
      <c r="H150" s="162">
        <v>0</v>
      </c>
      <c r="I150" s="176">
        <v>28.17</v>
      </c>
      <c r="J150" s="162">
        <v>0</v>
      </c>
      <c r="K150" s="176">
        <v>28.17</v>
      </c>
      <c r="L150" s="176">
        <v>0</v>
      </c>
    </row>
    <row r="151" spans="1:12" x14ac:dyDescent="0.3">
      <c r="A151" s="246" t="s">
        <v>605</v>
      </c>
      <c r="B151" s="70" t="s">
        <v>199</v>
      </c>
      <c r="C151" s="176">
        <v>0</v>
      </c>
      <c r="D151" s="176">
        <v>0</v>
      </c>
      <c r="E151" s="162">
        <v>0</v>
      </c>
      <c r="F151" s="176">
        <v>261668.08</v>
      </c>
      <c r="G151" s="162">
        <v>0</v>
      </c>
      <c r="H151" s="162">
        <v>0</v>
      </c>
      <c r="I151" s="162">
        <v>0</v>
      </c>
      <c r="J151" s="176">
        <v>261668.08</v>
      </c>
      <c r="K151" s="176">
        <v>0</v>
      </c>
      <c r="L151" s="176">
        <v>261668.08</v>
      </c>
    </row>
    <row r="152" spans="1:12" x14ac:dyDescent="0.3">
      <c r="A152" s="246" t="s">
        <v>210</v>
      </c>
      <c r="B152" s="70" t="s">
        <v>703</v>
      </c>
      <c r="C152" s="176">
        <v>0</v>
      </c>
      <c r="D152" s="176">
        <v>0</v>
      </c>
      <c r="E152" s="162">
        <v>0</v>
      </c>
      <c r="F152" s="176">
        <v>15841816.970000001</v>
      </c>
      <c r="G152" s="162">
        <v>0</v>
      </c>
      <c r="H152" s="176">
        <v>129028.66</v>
      </c>
      <c r="I152" s="162">
        <v>0</v>
      </c>
      <c r="J152" s="176">
        <v>15970845.630000001</v>
      </c>
      <c r="K152" s="176">
        <v>0</v>
      </c>
      <c r="L152" s="176">
        <v>15970845.630000001</v>
      </c>
    </row>
    <row r="153" spans="1:12" x14ac:dyDescent="0.3">
      <c r="A153" s="246" t="s">
        <v>539</v>
      </c>
      <c r="B153" s="70" t="s">
        <v>833</v>
      </c>
      <c r="C153" s="176">
        <v>0</v>
      </c>
      <c r="D153" s="176">
        <v>0</v>
      </c>
      <c r="E153" s="162">
        <v>0</v>
      </c>
      <c r="F153" s="162">
        <v>0</v>
      </c>
      <c r="G153" s="162">
        <v>0</v>
      </c>
      <c r="H153" s="176">
        <v>614271</v>
      </c>
      <c r="I153" s="162">
        <v>0</v>
      </c>
      <c r="J153" s="176">
        <v>614271</v>
      </c>
      <c r="K153" s="176">
        <v>0</v>
      </c>
      <c r="L153" s="176">
        <v>614271</v>
      </c>
    </row>
    <row r="154" spans="1:12" x14ac:dyDescent="0.3">
      <c r="A154" s="246" t="s">
        <v>385</v>
      </c>
      <c r="B154" s="70" t="s">
        <v>1247</v>
      </c>
      <c r="C154" s="176">
        <v>0</v>
      </c>
      <c r="D154" s="176">
        <v>0</v>
      </c>
      <c r="E154" s="162">
        <v>0</v>
      </c>
      <c r="F154" s="176">
        <v>500</v>
      </c>
      <c r="G154" s="162">
        <v>0</v>
      </c>
      <c r="H154" s="162">
        <v>0</v>
      </c>
      <c r="I154" s="162">
        <v>0</v>
      </c>
      <c r="J154" s="176">
        <v>500</v>
      </c>
      <c r="K154" s="176">
        <v>0</v>
      </c>
      <c r="L154" s="176">
        <v>500</v>
      </c>
    </row>
    <row r="155" spans="1:12" x14ac:dyDescent="0.3">
      <c r="A155" s="246" t="s">
        <v>1033</v>
      </c>
      <c r="B155" s="70" t="s">
        <v>1247</v>
      </c>
      <c r="C155" s="176">
        <v>0</v>
      </c>
      <c r="D155" s="176">
        <v>0</v>
      </c>
      <c r="E155" s="162">
        <v>0</v>
      </c>
      <c r="F155" s="176">
        <v>62193.07</v>
      </c>
      <c r="G155" s="162">
        <v>0</v>
      </c>
      <c r="H155" s="162">
        <v>0</v>
      </c>
      <c r="I155" s="162">
        <v>0</v>
      </c>
      <c r="J155" s="176">
        <v>62193.07</v>
      </c>
      <c r="K155" s="176">
        <v>0</v>
      </c>
      <c r="L155" s="176">
        <v>62193.07</v>
      </c>
    </row>
    <row r="156" spans="1:12" x14ac:dyDescent="0.3">
      <c r="A156" s="246" t="s">
        <v>12</v>
      </c>
      <c r="B156" s="70" t="s">
        <v>102</v>
      </c>
      <c r="C156" s="176">
        <v>0</v>
      </c>
      <c r="D156" s="176">
        <v>0</v>
      </c>
      <c r="E156" s="162">
        <v>0</v>
      </c>
      <c r="F156" s="176">
        <v>137016.82999999999</v>
      </c>
      <c r="G156" s="162">
        <v>0</v>
      </c>
      <c r="H156" s="162">
        <v>0</v>
      </c>
      <c r="I156" s="162">
        <v>0</v>
      </c>
      <c r="J156" s="176">
        <v>137016.82999999999</v>
      </c>
      <c r="K156" s="176">
        <v>0</v>
      </c>
      <c r="L156" s="176">
        <v>137016.82999999999</v>
      </c>
    </row>
    <row r="157" spans="1:12" x14ac:dyDescent="0.3">
      <c r="A157" s="246" t="s">
        <v>1292</v>
      </c>
      <c r="B157" s="70" t="s">
        <v>1097</v>
      </c>
      <c r="C157" s="176">
        <v>0</v>
      </c>
      <c r="D157" s="176">
        <v>0</v>
      </c>
      <c r="E157" s="162">
        <v>0</v>
      </c>
      <c r="F157" s="176">
        <v>591.04999999999995</v>
      </c>
      <c r="G157" s="162">
        <v>0</v>
      </c>
      <c r="H157" s="162">
        <v>0</v>
      </c>
      <c r="I157" s="162">
        <v>0</v>
      </c>
      <c r="J157" s="176">
        <v>591.04999999999995</v>
      </c>
      <c r="K157" s="176">
        <v>0</v>
      </c>
      <c r="L157" s="176">
        <v>591.04999999999995</v>
      </c>
    </row>
    <row r="158" spans="1:12" x14ac:dyDescent="0.3">
      <c r="A158" s="246" t="s">
        <v>805</v>
      </c>
      <c r="B158" s="70" t="s">
        <v>669</v>
      </c>
      <c r="C158" s="176">
        <v>0</v>
      </c>
      <c r="D158" s="176">
        <v>0</v>
      </c>
      <c r="E158" s="162">
        <v>0</v>
      </c>
      <c r="F158" s="176">
        <v>0.01</v>
      </c>
      <c r="G158" s="162">
        <v>0</v>
      </c>
      <c r="H158" s="162">
        <v>0</v>
      </c>
      <c r="I158" s="162">
        <v>0</v>
      </c>
      <c r="J158" s="176">
        <v>0.01</v>
      </c>
      <c r="K158" s="176">
        <v>0</v>
      </c>
      <c r="L158" s="176">
        <v>0.01</v>
      </c>
    </row>
    <row r="159" spans="1:12" x14ac:dyDescent="0.3">
      <c r="A159" s="246" t="s">
        <v>1317</v>
      </c>
      <c r="B159" s="70" t="s">
        <v>669</v>
      </c>
      <c r="C159" s="176">
        <v>0</v>
      </c>
      <c r="D159" s="176">
        <v>0</v>
      </c>
      <c r="E159" s="162">
        <v>0</v>
      </c>
      <c r="F159" s="162">
        <v>0</v>
      </c>
      <c r="G159" s="162">
        <v>0</v>
      </c>
      <c r="H159" s="176">
        <v>39930.54</v>
      </c>
      <c r="I159" s="162">
        <v>0</v>
      </c>
      <c r="J159" s="176">
        <v>39930.54</v>
      </c>
      <c r="K159" s="176">
        <v>0</v>
      </c>
      <c r="L159" s="176">
        <v>39930.54</v>
      </c>
    </row>
    <row r="160" spans="1:12" x14ac:dyDescent="0.3">
      <c r="A160" s="246" t="s">
        <v>685</v>
      </c>
      <c r="B160" s="70" t="s">
        <v>665</v>
      </c>
      <c r="C160" s="176">
        <v>0</v>
      </c>
      <c r="D160" s="176">
        <v>0</v>
      </c>
      <c r="E160" s="162">
        <v>0</v>
      </c>
      <c r="F160" s="176">
        <v>156.56</v>
      </c>
      <c r="G160" s="162">
        <v>0</v>
      </c>
      <c r="H160" s="176">
        <v>28.62</v>
      </c>
      <c r="I160" s="162">
        <v>0</v>
      </c>
      <c r="J160" s="176">
        <v>185.18</v>
      </c>
      <c r="K160" s="176">
        <v>0</v>
      </c>
      <c r="L160" s="176">
        <v>185.18</v>
      </c>
    </row>
    <row r="161" spans="1:12" x14ac:dyDescent="0.3">
      <c r="A161" s="246" t="s">
        <v>611</v>
      </c>
      <c r="B161" s="70" t="s">
        <v>955</v>
      </c>
      <c r="C161" s="176">
        <v>0</v>
      </c>
      <c r="D161" s="176">
        <v>0</v>
      </c>
      <c r="E161" s="162">
        <v>0</v>
      </c>
      <c r="F161" s="176">
        <v>10283.48</v>
      </c>
      <c r="G161" s="162">
        <v>0</v>
      </c>
      <c r="H161" s="176">
        <v>1092.57</v>
      </c>
      <c r="I161" s="162">
        <v>0</v>
      </c>
      <c r="J161" s="176">
        <v>11376.05</v>
      </c>
      <c r="K161" s="176">
        <v>0</v>
      </c>
      <c r="L161" s="176">
        <v>11376.05</v>
      </c>
    </row>
    <row r="162" spans="1:12" x14ac:dyDescent="0.3">
      <c r="A162" s="246" t="s">
        <v>229</v>
      </c>
      <c r="B162" s="70" t="s">
        <v>638</v>
      </c>
      <c r="C162" s="176">
        <v>0</v>
      </c>
      <c r="D162" s="176">
        <v>0</v>
      </c>
      <c r="E162" s="176">
        <v>-103</v>
      </c>
      <c r="F162" s="176">
        <v>3591.59</v>
      </c>
      <c r="G162" s="162">
        <v>0</v>
      </c>
      <c r="H162" s="162">
        <v>0</v>
      </c>
      <c r="I162" s="176">
        <v>-103</v>
      </c>
      <c r="J162" s="176">
        <v>3591.59</v>
      </c>
      <c r="K162" s="176">
        <v>0</v>
      </c>
      <c r="L162" s="176">
        <v>3694.59</v>
      </c>
    </row>
    <row r="163" spans="1:12" x14ac:dyDescent="0.3">
      <c r="A163" s="246" t="s">
        <v>327</v>
      </c>
      <c r="B163" s="70" t="s">
        <v>779</v>
      </c>
      <c r="C163" s="176">
        <v>0</v>
      </c>
      <c r="D163" s="176">
        <v>0</v>
      </c>
      <c r="E163" s="162">
        <v>0</v>
      </c>
      <c r="F163" s="162">
        <v>0</v>
      </c>
      <c r="G163" s="162">
        <v>0</v>
      </c>
      <c r="H163" s="162">
        <v>0</v>
      </c>
      <c r="I163" s="176">
        <v>11625084.07</v>
      </c>
      <c r="J163" s="176">
        <v>11625084.07</v>
      </c>
      <c r="K163" s="176">
        <v>0</v>
      </c>
      <c r="L163" s="176"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zoomScaleNormal="100" zoomScaleSheetLayoutView="100" workbookViewId="0"/>
  </sheetViews>
  <sheetFormatPr defaultColWidth="9.109375" defaultRowHeight="14.4" x14ac:dyDescent="0.3"/>
  <cols>
    <col min="1" max="1" width="16.109375" style="58" customWidth="1"/>
    <col min="2" max="2" width="46.6640625" style="2" customWidth="1"/>
    <col min="3" max="4" width="15.33203125" style="236" customWidth="1"/>
    <col min="5" max="5" width="15.109375" style="236" customWidth="1"/>
    <col min="6" max="11" width="15.33203125" style="236" customWidth="1"/>
    <col min="12" max="12" width="14.88671875" style="236" customWidth="1"/>
    <col min="13" max="16384" width="9.109375" style="112"/>
  </cols>
  <sheetData>
    <row r="1" spans="1:12" ht="20.399999999999999" x14ac:dyDescent="0.3">
      <c r="A1" s="51" t="s">
        <v>401</v>
      </c>
      <c r="B1" s="11" t="s">
        <v>1269</v>
      </c>
      <c r="C1" s="157" t="s">
        <v>802</v>
      </c>
      <c r="D1" s="157" t="s">
        <v>1002</v>
      </c>
      <c r="E1" s="157" t="s">
        <v>435</v>
      </c>
      <c r="F1" s="157" t="s">
        <v>765</v>
      </c>
      <c r="G1" s="157" t="s">
        <v>381</v>
      </c>
      <c r="H1" s="157" t="s">
        <v>700</v>
      </c>
      <c r="I1" s="157" t="s">
        <v>727</v>
      </c>
      <c r="J1" s="157" t="s">
        <v>702</v>
      </c>
      <c r="K1" s="157" t="s">
        <v>1046</v>
      </c>
      <c r="L1" s="157" t="s">
        <v>196</v>
      </c>
    </row>
    <row r="2" spans="1:12" x14ac:dyDescent="0.3">
      <c r="A2" s="221" t="s">
        <v>152</v>
      </c>
      <c r="B2" s="103" t="s">
        <v>732</v>
      </c>
      <c r="C2" s="144">
        <v>45419.8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45419.8</v>
      </c>
      <c r="L2" s="144">
        <v>0</v>
      </c>
    </row>
    <row r="3" spans="1:12" x14ac:dyDescent="0.3">
      <c r="A3" s="221" t="s">
        <v>11</v>
      </c>
      <c r="B3" s="103" t="s">
        <v>515</v>
      </c>
      <c r="C3" s="144">
        <v>1323885.77</v>
      </c>
      <c r="D3" s="144">
        <v>0</v>
      </c>
      <c r="E3" s="144">
        <v>0</v>
      </c>
      <c r="F3" s="144">
        <v>0</v>
      </c>
      <c r="G3" s="144">
        <v>0</v>
      </c>
      <c r="H3" s="144">
        <v>0</v>
      </c>
      <c r="I3" s="144">
        <v>0</v>
      </c>
      <c r="J3" s="144">
        <v>0</v>
      </c>
      <c r="K3" s="144">
        <v>1323885.77</v>
      </c>
      <c r="L3" s="144">
        <v>0</v>
      </c>
    </row>
    <row r="4" spans="1:12" x14ac:dyDescent="0.3">
      <c r="A4" s="221" t="s">
        <v>978</v>
      </c>
      <c r="B4" s="103" t="s">
        <v>947</v>
      </c>
      <c r="C4" s="144">
        <v>3505354.76</v>
      </c>
      <c r="D4" s="144">
        <v>0</v>
      </c>
      <c r="E4" s="144">
        <v>447059.12</v>
      </c>
      <c r="F4" s="144">
        <v>0</v>
      </c>
      <c r="G4" s="144">
        <v>197652.78</v>
      </c>
      <c r="H4" s="144">
        <v>83433</v>
      </c>
      <c r="I4" s="144">
        <v>644711.9</v>
      </c>
      <c r="J4" s="144">
        <v>83433</v>
      </c>
      <c r="K4" s="144">
        <v>4066633.66</v>
      </c>
      <c r="L4" s="144">
        <v>0</v>
      </c>
    </row>
    <row r="5" spans="1:12" x14ac:dyDescent="0.3">
      <c r="A5" s="221" t="s">
        <v>1175</v>
      </c>
      <c r="B5" s="103" t="s">
        <v>1070</v>
      </c>
      <c r="C5" s="144">
        <v>99914.42</v>
      </c>
      <c r="D5" s="144">
        <v>0</v>
      </c>
      <c r="E5" s="144">
        <v>0</v>
      </c>
      <c r="F5" s="144">
        <v>0</v>
      </c>
      <c r="G5" s="144">
        <v>0</v>
      </c>
      <c r="H5" s="144">
        <v>0</v>
      </c>
      <c r="I5" s="144">
        <v>0</v>
      </c>
      <c r="J5" s="144">
        <v>0</v>
      </c>
      <c r="K5" s="144">
        <v>99914.42</v>
      </c>
      <c r="L5" s="144">
        <v>0</v>
      </c>
    </row>
    <row r="6" spans="1:12" x14ac:dyDescent="0.3">
      <c r="A6" s="221" t="s">
        <v>657</v>
      </c>
      <c r="B6" s="103" t="s">
        <v>1032</v>
      </c>
      <c r="C6" s="144">
        <v>505774.97</v>
      </c>
      <c r="D6" s="144">
        <v>0</v>
      </c>
      <c r="E6" s="144">
        <v>639539.73</v>
      </c>
      <c r="F6" s="144">
        <v>447059.12</v>
      </c>
      <c r="G6" s="144">
        <v>17392.599999999999</v>
      </c>
      <c r="H6" s="144">
        <v>197652.78</v>
      </c>
      <c r="I6" s="144">
        <v>656932.32999999996</v>
      </c>
      <c r="J6" s="144">
        <v>644711.9</v>
      </c>
      <c r="K6" s="144">
        <v>517995.4</v>
      </c>
      <c r="L6" s="144">
        <v>0</v>
      </c>
    </row>
    <row r="7" spans="1:12" x14ac:dyDescent="0.3">
      <c r="A7" s="221" t="s">
        <v>688</v>
      </c>
      <c r="B7" s="103" t="s">
        <v>1320</v>
      </c>
      <c r="C7" s="144">
        <v>0</v>
      </c>
      <c r="D7" s="144">
        <v>23366.73</v>
      </c>
      <c r="E7" s="144">
        <v>0</v>
      </c>
      <c r="F7" s="144">
        <v>4878</v>
      </c>
      <c r="G7" s="144">
        <v>0</v>
      </c>
      <c r="H7" s="144">
        <v>0</v>
      </c>
      <c r="I7" s="144">
        <v>0</v>
      </c>
      <c r="J7" s="144">
        <v>4878</v>
      </c>
      <c r="K7" s="144">
        <v>0</v>
      </c>
      <c r="L7" s="144">
        <v>28244.73</v>
      </c>
    </row>
    <row r="8" spans="1:12" x14ac:dyDescent="0.3">
      <c r="A8" s="221" t="s">
        <v>806</v>
      </c>
      <c r="B8" s="103" t="s">
        <v>110</v>
      </c>
      <c r="C8" s="144">
        <v>0</v>
      </c>
      <c r="D8" s="144">
        <v>722771</v>
      </c>
      <c r="E8" s="144">
        <v>0</v>
      </c>
      <c r="F8" s="144">
        <v>62811</v>
      </c>
      <c r="G8" s="144">
        <v>0</v>
      </c>
      <c r="H8" s="144">
        <v>0</v>
      </c>
      <c r="I8" s="144">
        <v>0</v>
      </c>
      <c r="J8" s="144">
        <v>62811</v>
      </c>
      <c r="K8" s="144">
        <v>0</v>
      </c>
      <c r="L8" s="144">
        <v>785582</v>
      </c>
    </row>
    <row r="9" spans="1:12" x14ac:dyDescent="0.3">
      <c r="A9" s="221" t="s">
        <v>1225</v>
      </c>
      <c r="B9" s="103" t="s">
        <v>855</v>
      </c>
      <c r="C9" s="144">
        <v>0</v>
      </c>
      <c r="D9" s="144">
        <v>2886167.55</v>
      </c>
      <c r="E9" s="144">
        <v>0</v>
      </c>
      <c r="F9" s="144">
        <v>195903</v>
      </c>
      <c r="G9" s="144">
        <v>83433</v>
      </c>
      <c r="H9" s="144">
        <v>107962</v>
      </c>
      <c r="I9" s="144">
        <v>83433</v>
      </c>
      <c r="J9" s="144">
        <v>303865</v>
      </c>
      <c r="K9" s="144">
        <v>0</v>
      </c>
      <c r="L9" s="144">
        <v>3106599.55</v>
      </c>
    </row>
    <row r="10" spans="1:12" x14ac:dyDescent="0.3">
      <c r="A10" s="221" t="s">
        <v>914</v>
      </c>
      <c r="B10" s="103" t="s">
        <v>923</v>
      </c>
      <c r="C10" s="144">
        <v>0</v>
      </c>
      <c r="D10" s="144">
        <v>0</v>
      </c>
      <c r="E10" s="144">
        <v>3588961.12</v>
      </c>
      <c r="F10" s="144">
        <v>3591717.76</v>
      </c>
      <c r="G10" s="144">
        <v>332803.76</v>
      </c>
      <c r="H10" s="144">
        <v>330047.12</v>
      </c>
      <c r="I10" s="144">
        <v>3921764.88</v>
      </c>
      <c r="J10" s="144">
        <v>3921764.88</v>
      </c>
      <c r="K10" s="144">
        <v>0</v>
      </c>
      <c r="L10" s="144">
        <v>0</v>
      </c>
    </row>
    <row r="11" spans="1:12" x14ac:dyDescent="0.3">
      <c r="A11" s="221" t="s">
        <v>795</v>
      </c>
      <c r="B11" s="103" t="s">
        <v>1088</v>
      </c>
      <c r="C11" s="144">
        <v>195705.62</v>
      </c>
      <c r="D11" s="144">
        <v>0</v>
      </c>
      <c r="E11" s="144">
        <v>3591717.83</v>
      </c>
      <c r="F11" s="144">
        <v>3410360.95</v>
      </c>
      <c r="G11" s="144">
        <v>330047.12</v>
      </c>
      <c r="H11" s="144">
        <v>199702.67</v>
      </c>
      <c r="I11" s="144">
        <v>3921764.95</v>
      </c>
      <c r="J11" s="144">
        <v>3610063.62</v>
      </c>
      <c r="K11" s="144">
        <v>507406.95</v>
      </c>
      <c r="L11" s="144">
        <v>0</v>
      </c>
    </row>
    <row r="12" spans="1:12" x14ac:dyDescent="0.3">
      <c r="A12" s="221" t="s">
        <v>521</v>
      </c>
      <c r="B12" s="103" t="s">
        <v>1133</v>
      </c>
      <c r="C12" s="144">
        <v>0</v>
      </c>
      <c r="D12" s="144">
        <v>0</v>
      </c>
      <c r="E12" s="144">
        <v>0</v>
      </c>
      <c r="F12" s="144">
        <v>0</v>
      </c>
      <c r="G12" s="144">
        <v>614271</v>
      </c>
      <c r="H12" s="144">
        <v>0</v>
      </c>
      <c r="I12" s="144">
        <v>614271</v>
      </c>
      <c r="J12" s="144">
        <v>0</v>
      </c>
      <c r="K12" s="144">
        <v>614271</v>
      </c>
      <c r="L12" s="144">
        <v>0</v>
      </c>
    </row>
    <row r="13" spans="1:12" x14ac:dyDescent="0.3">
      <c r="A13" s="221" t="s">
        <v>153</v>
      </c>
      <c r="B13" s="103" t="s">
        <v>237</v>
      </c>
      <c r="C13" s="144">
        <v>385151.37</v>
      </c>
      <c r="D13" s="144">
        <v>0</v>
      </c>
      <c r="E13" s="144">
        <v>178395.84</v>
      </c>
      <c r="F13" s="144">
        <v>472151.72</v>
      </c>
      <c r="G13" s="144">
        <v>34485.68</v>
      </c>
      <c r="H13" s="144">
        <v>32399.24</v>
      </c>
      <c r="I13" s="144">
        <v>212881.52</v>
      </c>
      <c r="J13" s="144">
        <v>504550.96</v>
      </c>
      <c r="K13" s="144">
        <v>93481.93</v>
      </c>
      <c r="L13" s="144">
        <v>0</v>
      </c>
    </row>
    <row r="14" spans="1:12" x14ac:dyDescent="0.3">
      <c r="A14" s="221" t="s">
        <v>1074</v>
      </c>
      <c r="B14" s="103" t="s">
        <v>189</v>
      </c>
      <c r="C14" s="144">
        <v>1476.4</v>
      </c>
      <c r="D14" s="144">
        <v>0</v>
      </c>
      <c r="E14" s="144">
        <v>21517.5</v>
      </c>
      <c r="F14" s="144">
        <v>13078</v>
      </c>
      <c r="G14" s="144">
        <v>0</v>
      </c>
      <c r="H14" s="144">
        <v>0</v>
      </c>
      <c r="I14" s="144">
        <v>21517.5</v>
      </c>
      <c r="J14" s="144">
        <v>13078</v>
      </c>
      <c r="K14" s="144">
        <v>9915.9</v>
      </c>
      <c r="L14" s="144">
        <v>0</v>
      </c>
    </row>
    <row r="15" spans="1:12" x14ac:dyDescent="0.3">
      <c r="A15" s="221" t="s">
        <v>684</v>
      </c>
      <c r="B15" s="103" t="s">
        <v>660</v>
      </c>
      <c r="C15" s="144">
        <v>1476192.65</v>
      </c>
      <c r="D15" s="144">
        <v>0</v>
      </c>
      <c r="E15" s="144">
        <v>20440012.699999999</v>
      </c>
      <c r="F15" s="144">
        <v>20433487.5</v>
      </c>
      <c r="G15" s="144">
        <v>2921272.45</v>
      </c>
      <c r="H15" s="144">
        <v>3223194.55</v>
      </c>
      <c r="I15" s="144">
        <v>23361285.149999999</v>
      </c>
      <c r="J15" s="144">
        <v>23656682.050000001</v>
      </c>
      <c r="K15" s="144">
        <v>1180795.75</v>
      </c>
      <c r="L15" s="144">
        <v>0</v>
      </c>
    </row>
    <row r="16" spans="1:12" x14ac:dyDescent="0.3">
      <c r="A16" s="221" t="s">
        <v>518</v>
      </c>
      <c r="B16" s="103" t="s">
        <v>524</v>
      </c>
      <c r="C16" s="144">
        <v>0</v>
      </c>
      <c r="D16" s="144">
        <v>0</v>
      </c>
      <c r="E16" s="144">
        <v>267511.05</v>
      </c>
      <c r="F16" s="144">
        <v>267511.05</v>
      </c>
      <c r="G16" s="144">
        <v>0</v>
      </c>
      <c r="H16" s="144">
        <v>0</v>
      </c>
      <c r="I16" s="144">
        <v>267511.05</v>
      </c>
      <c r="J16" s="144">
        <v>267511.05</v>
      </c>
      <c r="K16" s="144">
        <v>0</v>
      </c>
      <c r="L16" s="144">
        <v>0</v>
      </c>
    </row>
    <row r="17" spans="1:12" x14ac:dyDescent="0.3">
      <c r="A17" s="221" t="s">
        <v>595</v>
      </c>
      <c r="B17" s="103" t="s">
        <v>549</v>
      </c>
      <c r="C17" s="144">
        <v>0</v>
      </c>
      <c r="D17" s="144">
        <v>0</v>
      </c>
      <c r="E17" s="144">
        <v>2237523.17</v>
      </c>
      <c r="F17" s="144">
        <v>2237437.87</v>
      </c>
      <c r="G17" s="144">
        <v>353566.4</v>
      </c>
      <c r="H17" s="144">
        <v>353651.7</v>
      </c>
      <c r="I17" s="144">
        <v>2591089.5699999998</v>
      </c>
      <c r="J17" s="144">
        <v>2591089.5699999998</v>
      </c>
      <c r="K17" s="144">
        <v>0</v>
      </c>
      <c r="L17" s="144">
        <v>0</v>
      </c>
    </row>
    <row r="18" spans="1:12" x14ac:dyDescent="0.3">
      <c r="A18" s="221" t="s">
        <v>1098</v>
      </c>
      <c r="B18" s="103" t="s">
        <v>450</v>
      </c>
      <c r="C18" s="144">
        <v>2416765.16</v>
      </c>
      <c r="D18" s="144">
        <v>0</v>
      </c>
      <c r="E18" s="144">
        <v>20349124.859999999</v>
      </c>
      <c r="F18" s="144">
        <v>18675285.77</v>
      </c>
      <c r="G18" s="144">
        <v>182999.64</v>
      </c>
      <c r="H18" s="144">
        <v>2457320.4700000002</v>
      </c>
      <c r="I18" s="144">
        <v>20532124.5</v>
      </c>
      <c r="J18" s="144">
        <v>21132606.239999998</v>
      </c>
      <c r="K18" s="144">
        <v>1816283.42</v>
      </c>
      <c r="L18" s="144">
        <v>0</v>
      </c>
    </row>
    <row r="19" spans="1:12" x14ac:dyDescent="0.3">
      <c r="A19" s="221" t="s">
        <v>1330</v>
      </c>
      <c r="B19" s="103" t="s">
        <v>105</v>
      </c>
      <c r="C19" s="144">
        <v>4660.1899999999996</v>
      </c>
      <c r="D19" s="144">
        <v>0</v>
      </c>
      <c r="E19" s="144">
        <v>59727.8</v>
      </c>
      <c r="F19" s="144">
        <v>15442.35</v>
      </c>
      <c r="G19" s="144">
        <v>-15037.29</v>
      </c>
      <c r="H19" s="144">
        <v>0</v>
      </c>
      <c r="I19" s="144">
        <v>44690.51</v>
      </c>
      <c r="J19" s="144">
        <v>15442.35</v>
      </c>
      <c r="K19" s="144">
        <v>33908.35</v>
      </c>
      <c r="L19" s="144">
        <v>0</v>
      </c>
    </row>
    <row r="20" spans="1:12" x14ac:dyDescent="0.3">
      <c r="A20" s="221" t="s">
        <v>284</v>
      </c>
      <c r="B20" s="103" t="s">
        <v>370</v>
      </c>
      <c r="C20" s="144">
        <v>0</v>
      </c>
      <c r="D20" s="144">
        <v>0</v>
      </c>
      <c r="E20" s="144">
        <v>706376.99</v>
      </c>
      <c r="F20" s="144">
        <v>687788.38</v>
      </c>
      <c r="G20" s="144">
        <v>9134.83</v>
      </c>
      <c r="H20" s="144">
        <v>0</v>
      </c>
      <c r="I20" s="144">
        <v>715511.82</v>
      </c>
      <c r="J20" s="144">
        <v>687788.38</v>
      </c>
      <c r="K20" s="144">
        <v>27723.439999999999</v>
      </c>
      <c r="L20" s="144">
        <v>0</v>
      </c>
    </row>
    <row r="21" spans="1:12" x14ac:dyDescent="0.3">
      <c r="A21" s="221" t="s">
        <v>1151</v>
      </c>
      <c r="B21" s="103" t="s">
        <v>804</v>
      </c>
      <c r="C21" s="144">
        <v>0</v>
      </c>
      <c r="D21" s="144">
        <v>3455018.57</v>
      </c>
      <c r="E21" s="144">
        <v>16834601.899999999</v>
      </c>
      <c r="F21" s="144">
        <v>16814356.969999999</v>
      </c>
      <c r="G21" s="144">
        <v>2795882.83</v>
      </c>
      <c r="H21" s="144">
        <v>965486.07</v>
      </c>
      <c r="I21" s="144">
        <v>19630484.73</v>
      </c>
      <c r="J21" s="144">
        <v>17779843.039999999</v>
      </c>
      <c r="K21" s="144">
        <v>0</v>
      </c>
      <c r="L21" s="144">
        <v>1604376.88</v>
      </c>
    </row>
    <row r="22" spans="1:12" x14ac:dyDescent="0.3">
      <c r="A22" s="221" t="s">
        <v>820</v>
      </c>
      <c r="B22" s="103" t="s">
        <v>1137</v>
      </c>
      <c r="C22" s="144">
        <v>0</v>
      </c>
      <c r="D22" s="144">
        <v>49422.09</v>
      </c>
      <c r="E22" s="144">
        <v>45122.09</v>
      </c>
      <c r="F22" s="144">
        <v>0</v>
      </c>
      <c r="G22" s="144">
        <v>4300</v>
      </c>
      <c r="H22" s="144">
        <v>0</v>
      </c>
      <c r="I22" s="144">
        <v>49422.09</v>
      </c>
      <c r="J22" s="144">
        <v>0</v>
      </c>
      <c r="K22" s="144">
        <v>0</v>
      </c>
      <c r="L22" s="144">
        <v>0</v>
      </c>
    </row>
    <row r="23" spans="1:12" x14ac:dyDescent="0.3">
      <c r="A23" s="221" t="s">
        <v>68</v>
      </c>
      <c r="B23" s="103" t="s">
        <v>257</v>
      </c>
      <c r="C23" s="144">
        <v>0</v>
      </c>
      <c r="D23" s="144">
        <v>0</v>
      </c>
      <c r="E23" s="144">
        <v>0</v>
      </c>
      <c r="F23" s="144">
        <v>426294.7</v>
      </c>
      <c r="G23" s="144">
        <v>0</v>
      </c>
      <c r="H23" s="144">
        <v>0</v>
      </c>
      <c r="I23" s="144">
        <v>0</v>
      </c>
      <c r="J23" s="144">
        <v>426294.7</v>
      </c>
      <c r="K23" s="144">
        <v>0</v>
      </c>
      <c r="L23" s="144">
        <v>426294.7</v>
      </c>
    </row>
    <row r="24" spans="1:12" x14ac:dyDescent="0.3">
      <c r="A24" s="221" t="s">
        <v>176</v>
      </c>
      <c r="B24" s="103" t="s">
        <v>784</v>
      </c>
      <c r="C24" s="144">
        <v>10578.65</v>
      </c>
      <c r="D24" s="144">
        <v>0</v>
      </c>
      <c r="E24" s="144">
        <v>-10578.6</v>
      </c>
      <c r="F24" s="144">
        <v>0</v>
      </c>
      <c r="G24" s="144">
        <v>2787.84</v>
      </c>
      <c r="H24" s="144">
        <v>0</v>
      </c>
      <c r="I24" s="144">
        <v>-7790.76</v>
      </c>
      <c r="J24" s="144">
        <v>0</v>
      </c>
      <c r="K24" s="144">
        <v>2787.89</v>
      </c>
      <c r="L24" s="144">
        <v>0</v>
      </c>
    </row>
    <row r="25" spans="1:12" x14ac:dyDescent="0.3">
      <c r="A25" s="221" t="s">
        <v>1285</v>
      </c>
      <c r="B25" s="103" t="s">
        <v>249</v>
      </c>
      <c r="C25" s="144">
        <v>0</v>
      </c>
      <c r="D25" s="144">
        <v>46713.36</v>
      </c>
      <c r="E25" s="144">
        <v>791763.47</v>
      </c>
      <c r="F25" s="144">
        <v>815933.29</v>
      </c>
      <c r="G25" s="144">
        <v>88019.81</v>
      </c>
      <c r="H25" s="144">
        <v>67960.740000000005</v>
      </c>
      <c r="I25" s="144">
        <v>879783.28</v>
      </c>
      <c r="J25" s="144">
        <v>883894.03</v>
      </c>
      <c r="K25" s="144">
        <v>0</v>
      </c>
      <c r="L25" s="144">
        <v>50824.11</v>
      </c>
    </row>
    <row r="26" spans="1:12" x14ac:dyDescent="0.3">
      <c r="A26" s="221" t="s">
        <v>603</v>
      </c>
      <c r="B26" s="103" t="s">
        <v>1021</v>
      </c>
      <c r="C26" s="144">
        <v>0</v>
      </c>
      <c r="D26" s="144">
        <v>29202.87</v>
      </c>
      <c r="E26" s="144">
        <v>379071.16</v>
      </c>
      <c r="F26" s="144">
        <v>381232.87</v>
      </c>
      <c r="G26" s="144">
        <v>31337.14</v>
      </c>
      <c r="H26" s="144">
        <v>31591.38</v>
      </c>
      <c r="I26" s="144">
        <v>410408.3</v>
      </c>
      <c r="J26" s="144">
        <v>412824.25</v>
      </c>
      <c r="K26" s="144">
        <v>0</v>
      </c>
      <c r="L26" s="144">
        <v>31618.82</v>
      </c>
    </row>
    <row r="27" spans="1:12" x14ac:dyDescent="0.3">
      <c r="A27" s="221" t="s">
        <v>1109</v>
      </c>
      <c r="B27" s="103" t="s">
        <v>335</v>
      </c>
      <c r="C27" s="144">
        <v>1563.17</v>
      </c>
      <c r="D27" s="144">
        <v>0</v>
      </c>
      <c r="E27" s="144">
        <v>17886.96</v>
      </c>
      <c r="F27" s="144">
        <v>0</v>
      </c>
      <c r="G27" s="144">
        <v>6521.9</v>
      </c>
      <c r="H27" s="144">
        <v>20938.3</v>
      </c>
      <c r="I27" s="144">
        <v>24408.86</v>
      </c>
      <c r="J27" s="144">
        <v>20938.3</v>
      </c>
      <c r="K27" s="144">
        <v>5033.7299999999996</v>
      </c>
      <c r="L27" s="144">
        <v>0</v>
      </c>
    </row>
    <row r="28" spans="1:12" x14ac:dyDescent="0.3">
      <c r="A28" s="221" t="s">
        <v>987</v>
      </c>
      <c r="B28" s="103" t="s">
        <v>952</v>
      </c>
      <c r="C28" s="144">
        <v>0</v>
      </c>
      <c r="D28" s="144">
        <v>3439.24</v>
      </c>
      <c r="E28" s="144">
        <v>75712.039999999994</v>
      </c>
      <c r="F28" s="144">
        <v>62243.65</v>
      </c>
      <c r="G28" s="144">
        <v>6439.48</v>
      </c>
      <c r="H28" s="144">
        <v>6597.38</v>
      </c>
      <c r="I28" s="144">
        <v>82151.520000000004</v>
      </c>
      <c r="J28" s="144">
        <v>68841.03</v>
      </c>
      <c r="K28" s="144">
        <v>9871.25</v>
      </c>
      <c r="L28" s="144">
        <v>0</v>
      </c>
    </row>
    <row r="29" spans="1:12" x14ac:dyDescent="0.3">
      <c r="A29" s="221" t="s">
        <v>298</v>
      </c>
      <c r="B29" s="103" t="s">
        <v>1150</v>
      </c>
      <c r="C29" s="144">
        <v>85442.33</v>
      </c>
      <c r="D29" s="144">
        <v>0</v>
      </c>
      <c r="E29" s="144">
        <v>3141582.26</v>
      </c>
      <c r="F29" s="144">
        <v>3044536.44</v>
      </c>
      <c r="G29" s="144">
        <v>125887.71</v>
      </c>
      <c r="H29" s="144">
        <v>89374.79</v>
      </c>
      <c r="I29" s="144">
        <v>3267469.97</v>
      </c>
      <c r="J29" s="144">
        <v>3133911.23</v>
      </c>
      <c r="K29" s="144">
        <v>219001.07</v>
      </c>
      <c r="L29" s="144">
        <v>0</v>
      </c>
    </row>
    <row r="30" spans="1:12" x14ac:dyDescent="0.3">
      <c r="A30" s="221" t="s">
        <v>729</v>
      </c>
      <c r="B30" s="103" t="s">
        <v>220</v>
      </c>
      <c r="C30" s="144">
        <v>1035.7</v>
      </c>
      <c r="D30" s="144">
        <v>0</v>
      </c>
      <c r="E30" s="144">
        <v>10951.7</v>
      </c>
      <c r="F30" s="144">
        <v>0</v>
      </c>
      <c r="G30" s="144">
        <v>1172.67</v>
      </c>
      <c r="H30" s="144">
        <v>0</v>
      </c>
      <c r="I30" s="144">
        <v>12124.37</v>
      </c>
      <c r="J30" s="144">
        <v>0</v>
      </c>
      <c r="K30" s="144">
        <v>13160.07</v>
      </c>
      <c r="L30" s="144">
        <v>0</v>
      </c>
    </row>
    <row r="31" spans="1:12" x14ac:dyDescent="0.3">
      <c r="A31" s="221" t="s">
        <v>1276</v>
      </c>
      <c r="B31" s="103" t="s">
        <v>690</v>
      </c>
      <c r="C31" s="144">
        <v>0</v>
      </c>
      <c r="D31" s="144">
        <v>0</v>
      </c>
      <c r="E31" s="144">
        <v>0</v>
      </c>
      <c r="F31" s="144">
        <v>0</v>
      </c>
      <c r="G31" s="144">
        <v>0</v>
      </c>
      <c r="H31" s="144">
        <v>153994.12</v>
      </c>
      <c r="I31" s="144">
        <v>0</v>
      </c>
      <c r="J31" s="144">
        <v>153994.12</v>
      </c>
      <c r="K31" s="144">
        <v>0</v>
      </c>
      <c r="L31" s="144">
        <v>153994.12</v>
      </c>
    </row>
    <row r="32" spans="1:12" x14ac:dyDescent="0.3">
      <c r="A32" s="221" t="s">
        <v>221</v>
      </c>
      <c r="B32" s="103" t="s">
        <v>262</v>
      </c>
      <c r="C32" s="144">
        <v>0</v>
      </c>
      <c r="D32" s="144">
        <v>1319556.8500000001</v>
      </c>
      <c r="E32" s="144">
        <v>3000</v>
      </c>
      <c r="F32" s="144">
        <v>3000</v>
      </c>
      <c r="G32" s="144">
        <v>0</v>
      </c>
      <c r="H32" s="144">
        <v>0</v>
      </c>
      <c r="I32" s="144">
        <v>3000</v>
      </c>
      <c r="J32" s="144">
        <v>3000</v>
      </c>
      <c r="K32" s="144">
        <v>0</v>
      </c>
      <c r="L32" s="144">
        <v>1319556.8500000001</v>
      </c>
    </row>
    <row r="33" spans="1:12" x14ac:dyDescent="0.3">
      <c r="A33" s="221" t="s">
        <v>364</v>
      </c>
      <c r="B33" s="103" t="s">
        <v>1277</v>
      </c>
      <c r="C33" s="144">
        <v>21583.18</v>
      </c>
      <c r="D33" s="144">
        <v>0</v>
      </c>
      <c r="E33" s="144">
        <v>0</v>
      </c>
      <c r="F33" s="144">
        <v>4199.8</v>
      </c>
      <c r="G33" s="144">
        <v>0</v>
      </c>
      <c r="H33" s="144">
        <v>656.99</v>
      </c>
      <c r="I33" s="144">
        <v>0</v>
      </c>
      <c r="J33" s="144">
        <v>4856.79</v>
      </c>
      <c r="K33" s="144">
        <v>16726.39</v>
      </c>
      <c r="L33" s="144">
        <v>0</v>
      </c>
    </row>
    <row r="34" spans="1:12" x14ac:dyDescent="0.3">
      <c r="A34" s="221" t="s">
        <v>146</v>
      </c>
      <c r="B34" s="103" t="s">
        <v>913</v>
      </c>
      <c r="C34" s="144">
        <v>0</v>
      </c>
      <c r="D34" s="144">
        <v>295.56</v>
      </c>
      <c r="E34" s="144">
        <v>12929.07</v>
      </c>
      <c r="F34" s="144">
        <v>6456.46</v>
      </c>
      <c r="G34" s="144">
        <v>270.06</v>
      </c>
      <c r="H34" s="144">
        <v>6447.06</v>
      </c>
      <c r="I34" s="144">
        <v>13199.13</v>
      </c>
      <c r="J34" s="144">
        <v>12903.52</v>
      </c>
      <c r="K34" s="144">
        <v>0.05</v>
      </c>
      <c r="L34" s="144">
        <v>0</v>
      </c>
    </row>
    <row r="35" spans="1:12" x14ac:dyDescent="0.3">
      <c r="A35" s="221" t="s">
        <v>169</v>
      </c>
      <c r="B35" s="103" t="s">
        <v>1284</v>
      </c>
      <c r="C35" s="144">
        <v>10106.049999999999</v>
      </c>
      <c r="D35" s="144">
        <v>0</v>
      </c>
      <c r="E35" s="144">
        <v>5432.05</v>
      </c>
      <c r="F35" s="144">
        <v>0</v>
      </c>
      <c r="G35" s="144">
        <v>8436.7099999999991</v>
      </c>
      <c r="H35" s="144">
        <v>10106.049999999999</v>
      </c>
      <c r="I35" s="144">
        <v>13868.76</v>
      </c>
      <c r="J35" s="144">
        <v>10106.049999999999</v>
      </c>
      <c r="K35" s="144">
        <v>13868.76</v>
      </c>
      <c r="L35" s="144">
        <v>0</v>
      </c>
    </row>
    <row r="36" spans="1:12" x14ac:dyDescent="0.3">
      <c r="A36" s="221" t="s">
        <v>106</v>
      </c>
      <c r="B36" s="103" t="s">
        <v>1163</v>
      </c>
      <c r="C36" s="144">
        <v>1507460.08</v>
      </c>
      <c r="D36" s="144">
        <v>0</v>
      </c>
      <c r="E36" s="144">
        <v>0</v>
      </c>
      <c r="F36" s="144">
        <v>1507460.08</v>
      </c>
      <c r="G36" s="144">
        <v>0</v>
      </c>
      <c r="H36" s="144">
        <v>0</v>
      </c>
      <c r="I36" s="144">
        <v>0</v>
      </c>
      <c r="J36" s="144">
        <v>1507460.08</v>
      </c>
      <c r="K36" s="144">
        <v>0</v>
      </c>
      <c r="L36" s="144">
        <v>0</v>
      </c>
    </row>
    <row r="37" spans="1:12" x14ac:dyDescent="0.3">
      <c r="A37" s="221" t="s">
        <v>1300</v>
      </c>
      <c r="B37" s="103" t="s">
        <v>99</v>
      </c>
      <c r="C37" s="144">
        <v>0</v>
      </c>
      <c r="D37" s="144">
        <v>155975.92000000001</v>
      </c>
      <c r="E37" s="144">
        <v>0</v>
      </c>
      <c r="F37" s="144">
        <v>0</v>
      </c>
      <c r="G37" s="144">
        <v>0</v>
      </c>
      <c r="H37" s="144">
        <v>0</v>
      </c>
      <c r="I37" s="144">
        <v>0</v>
      </c>
      <c r="J37" s="144">
        <v>0</v>
      </c>
      <c r="K37" s="144">
        <v>0</v>
      </c>
      <c r="L37" s="144">
        <v>155975.92000000001</v>
      </c>
    </row>
    <row r="38" spans="1:12" x14ac:dyDescent="0.3">
      <c r="A38" s="221" t="s">
        <v>1214</v>
      </c>
      <c r="B38" s="103" t="s">
        <v>377</v>
      </c>
      <c r="C38" s="144">
        <v>0</v>
      </c>
      <c r="D38" s="144">
        <v>1327757</v>
      </c>
      <c r="E38" s="144">
        <v>0</v>
      </c>
      <c r="F38" s="144">
        <v>0</v>
      </c>
      <c r="G38" s="144">
        <v>0</v>
      </c>
      <c r="H38" s="144">
        <v>0</v>
      </c>
      <c r="I38" s="144">
        <v>0</v>
      </c>
      <c r="J38" s="144">
        <v>0</v>
      </c>
      <c r="K38" s="144">
        <v>0</v>
      </c>
      <c r="L38" s="144">
        <v>1327757</v>
      </c>
    </row>
    <row r="39" spans="1:12" x14ac:dyDescent="0.3">
      <c r="A39" s="221" t="s">
        <v>970</v>
      </c>
      <c r="B39" s="103" t="s">
        <v>122</v>
      </c>
      <c r="C39" s="144">
        <v>0</v>
      </c>
      <c r="D39" s="144">
        <v>664000</v>
      </c>
      <c r="E39" s="144">
        <v>0</v>
      </c>
      <c r="F39" s="144">
        <v>0</v>
      </c>
      <c r="G39" s="144">
        <v>0</v>
      </c>
      <c r="H39" s="144">
        <v>0</v>
      </c>
      <c r="I39" s="144">
        <v>0</v>
      </c>
      <c r="J39" s="144">
        <v>0</v>
      </c>
      <c r="K39" s="144">
        <v>0</v>
      </c>
      <c r="L39" s="144">
        <v>664000</v>
      </c>
    </row>
    <row r="40" spans="1:12" x14ac:dyDescent="0.3">
      <c r="A40" s="221" t="s">
        <v>92</v>
      </c>
      <c r="B40" s="103" t="s">
        <v>403</v>
      </c>
      <c r="C40" s="144">
        <v>0</v>
      </c>
      <c r="D40" s="144">
        <v>132775.70000000001</v>
      </c>
      <c r="E40" s="144">
        <v>0</v>
      </c>
      <c r="F40" s="144">
        <v>0</v>
      </c>
      <c r="G40" s="144">
        <v>0</v>
      </c>
      <c r="H40" s="144">
        <v>0</v>
      </c>
      <c r="I40" s="144">
        <v>0</v>
      </c>
      <c r="J40" s="144">
        <v>0</v>
      </c>
      <c r="K40" s="144">
        <v>0</v>
      </c>
      <c r="L40" s="144">
        <v>132775.70000000001</v>
      </c>
    </row>
    <row r="41" spans="1:12" x14ac:dyDescent="0.3">
      <c r="A41" s="221" t="s">
        <v>870</v>
      </c>
      <c r="B41" s="103" t="s">
        <v>735</v>
      </c>
      <c r="C41" s="144">
        <v>0</v>
      </c>
      <c r="D41" s="144">
        <v>724891.1</v>
      </c>
      <c r="E41" s="144">
        <v>0</v>
      </c>
      <c r="F41" s="144">
        <v>8309.56</v>
      </c>
      <c r="G41" s="144">
        <v>0</v>
      </c>
      <c r="H41" s="144">
        <v>0</v>
      </c>
      <c r="I41" s="144">
        <v>0</v>
      </c>
      <c r="J41" s="144">
        <v>8309.56</v>
      </c>
      <c r="K41" s="144">
        <v>0</v>
      </c>
      <c r="L41" s="144">
        <v>733200.66</v>
      </c>
    </row>
    <row r="42" spans="1:12" x14ac:dyDescent="0.3">
      <c r="A42" s="221" t="s">
        <v>1080</v>
      </c>
      <c r="B42" s="103" t="s">
        <v>580</v>
      </c>
      <c r="C42" s="144">
        <v>0</v>
      </c>
      <c r="D42" s="144">
        <v>8309.56</v>
      </c>
      <c r="E42" s="144">
        <v>8309.56</v>
      </c>
      <c r="F42" s="144">
        <v>0</v>
      </c>
      <c r="G42" s="144">
        <v>0</v>
      </c>
      <c r="H42" s="144">
        <v>0</v>
      </c>
      <c r="I42" s="144">
        <v>8309.56</v>
      </c>
      <c r="J42" s="144">
        <v>0</v>
      </c>
      <c r="K42" s="144">
        <v>0</v>
      </c>
      <c r="L42" s="144">
        <v>0</v>
      </c>
    </row>
    <row r="43" spans="1:12" x14ac:dyDescent="0.3">
      <c r="A43" s="221" t="s">
        <v>1114</v>
      </c>
      <c r="B43" s="103" t="s">
        <v>577</v>
      </c>
      <c r="C43" s="144">
        <v>0</v>
      </c>
      <c r="D43" s="144">
        <v>39254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39254</v>
      </c>
    </row>
    <row r="44" spans="1:12" x14ac:dyDescent="0.3">
      <c r="A44" s="221" t="s">
        <v>736</v>
      </c>
      <c r="B44" s="103" t="s">
        <v>1089</v>
      </c>
      <c r="C44" s="144">
        <v>0</v>
      </c>
      <c r="D44" s="144">
        <v>16612.169999999998</v>
      </c>
      <c r="E44" s="144">
        <v>0</v>
      </c>
      <c r="F44" s="144">
        <v>0</v>
      </c>
      <c r="G44" s="144">
        <v>0</v>
      </c>
      <c r="H44" s="144">
        <v>0</v>
      </c>
      <c r="I44" s="144">
        <v>0</v>
      </c>
      <c r="J44" s="144">
        <v>0</v>
      </c>
      <c r="K44" s="144">
        <v>0</v>
      </c>
      <c r="L44" s="144">
        <v>16612.169999999998</v>
      </c>
    </row>
    <row r="45" spans="1:12" x14ac:dyDescent="0.3">
      <c r="A45" s="221" t="s">
        <v>871</v>
      </c>
      <c r="B45" s="103" t="s">
        <v>842</v>
      </c>
      <c r="C45" s="144">
        <v>7459</v>
      </c>
      <c r="D45" s="144">
        <v>0</v>
      </c>
      <c r="E45" s="144">
        <v>0</v>
      </c>
      <c r="F45" s="144">
        <v>0</v>
      </c>
      <c r="G45" s="144">
        <v>0</v>
      </c>
      <c r="H45" s="144">
        <v>0</v>
      </c>
      <c r="I45" s="144">
        <v>0</v>
      </c>
      <c r="J45" s="144">
        <v>0</v>
      </c>
      <c r="K45" s="144">
        <v>7459</v>
      </c>
      <c r="L45" s="144">
        <v>0</v>
      </c>
    </row>
    <row r="46" spans="1:12" x14ac:dyDescent="0.3">
      <c r="A46" s="221" t="s">
        <v>89</v>
      </c>
      <c r="B46" s="103" t="s">
        <v>887</v>
      </c>
      <c r="C46" s="144">
        <v>0</v>
      </c>
      <c r="D46" s="144">
        <v>0</v>
      </c>
      <c r="E46" s="144">
        <v>3929717.7</v>
      </c>
      <c r="F46" s="144">
        <v>0</v>
      </c>
      <c r="G46" s="144">
        <v>225602.06</v>
      </c>
      <c r="H46" s="144">
        <v>0</v>
      </c>
      <c r="I46" s="144">
        <v>4155319.76</v>
      </c>
      <c r="J46" s="144">
        <v>0</v>
      </c>
      <c r="K46" s="144">
        <v>4155319.76</v>
      </c>
      <c r="L46" s="144">
        <v>0</v>
      </c>
    </row>
    <row r="47" spans="1:12" x14ac:dyDescent="0.3">
      <c r="A47" s="221" t="s">
        <v>1077</v>
      </c>
      <c r="B47" s="103" t="s">
        <v>204</v>
      </c>
      <c r="C47" s="144">
        <v>0</v>
      </c>
      <c r="D47" s="144">
        <v>0</v>
      </c>
      <c r="E47" s="144">
        <v>90282.3</v>
      </c>
      <c r="F47" s="144">
        <v>0</v>
      </c>
      <c r="G47" s="144">
        <v>6492.76</v>
      </c>
      <c r="H47" s="144">
        <v>0</v>
      </c>
      <c r="I47" s="144">
        <v>96775.06</v>
      </c>
      <c r="J47" s="144">
        <v>0</v>
      </c>
      <c r="K47" s="144">
        <v>96775.06</v>
      </c>
      <c r="L47" s="144">
        <v>0</v>
      </c>
    </row>
    <row r="48" spans="1:12" x14ac:dyDescent="0.3">
      <c r="A48" s="221" t="s">
        <v>1258</v>
      </c>
      <c r="B48" s="103" t="s">
        <v>550</v>
      </c>
      <c r="C48" s="144">
        <v>0</v>
      </c>
      <c r="D48" s="144">
        <v>0</v>
      </c>
      <c r="E48" s="144">
        <v>47038.66</v>
      </c>
      <c r="F48" s="144">
        <v>0</v>
      </c>
      <c r="G48" s="144">
        <v>2438.83</v>
      </c>
      <c r="H48" s="144">
        <v>0</v>
      </c>
      <c r="I48" s="144">
        <v>49477.49</v>
      </c>
      <c r="J48" s="144">
        <v>0</v>
      </c>
      <c r="K48" s="144">
        <v>49477.49</v>
      </c>
      <c r="L48" s="144">
        <v>0</v>
      </c>
    </row>
    <row r="49" spans="1:12" x14ac:dyDescent="0.3">
      <c r="A49" s="221" t="s">
        <v>620</v>
      </c>
      <c r="B49" s="103" t="s">
        <v>650</v>
      </c>
      <c r="C49" s="144">
        <v>0</v>
      </c>
      <c r="D49" s="144">
        <v>0</v>
      </c>
      <c r="E49" s="144">
        <v>43549.86</v>
      </c>
      <c r="F49" s="144">
        <v>0</v>
      </c>
      <c r="G49" s="144">
        <v>6898.72</v>
      </c>
      <c r="H49" s="144">
        <v>0</v>
      </c>
      <c r="I49" s="144">
        <v>50448.58</v>
      </c>
      <c r="J49" s="144">
        <v>0</v>
      </c>
      <c r="K49" s="144">
        <v>50448.58</v>
      </c>
      <c r="L49" s="144">
        <v>0</v>
      </c>
    </row>
    <row r="50" spans="1:12" x14ac:dyDescent="0.3">
      <c r="A50" s="221" t="s">
        <v>1279</v>
      </c>
      <c r="B50" s="103" t="s">
        <v>434</v>
      </c>
      <c r="C50" s="144">
        <v>0</v>
      </c>
      <c r="D50" s="144">
        <v>0</v>
      </c>
      <c r="E50" s="144">
        <v>2654.26</v>
      </c>
      <c r="F50" s="144">
        <v>0</v>
      </c>
      <c r="G50" s="144">
        <v>1101.3</v>
      </c>
      <c r="H50" s="144">
        <v>0</v>
      </c>
      <c r="I50" s="144">
        <v>3755.56</v>
      </c>
      <c r="J50" s="144">
        <v>0</v>
      </c>
      <c r="K50" s="144">
        <v>3755.56</v>
      </c>
      <c r="L50" s="144">
        <v>0</v>
      </c>
    </row>
    <row r="51" spans="1:12" x14ac:dyDescent="0.3">
      <c r="A51" s="221" t="s">
        <v>417</v>
      </c>
      <c r="B51" s="103" t="s">
        <v>637</v>
      </c>
      <c r="C51" s="144">
        <v>0</v>
      </c>
      <c r="D51" s="144">
        <v>0</v>
      </c>
      <c r="E51" s="144">
        <v>10568596.369999999</v>
      </c>
      <c r="F51" s="144">
        <v>0</v>
      </c>
      <c r="G51" s="144">
        <v>506023</v>
      </c>
      <c r="H51" s="144">
        <v>0</v>
      </c>
      <c r="I51" s="144">
        <v>11074619.369999999</v>
      </c>
      <c r="J51" s="144">
        <v>0</v>
      </c>
      <c r="K51" s="144">
        <v>11074619.369999999</v>
      </c>
      <c r="L51" s="144">
        <v>0</v>
      </c>
    </row>
    <row r="52" spans="1:12" x14ac:dyDescent="0.3">
      <c r="A52" s="221" t="s">
        <v>167</v>
      </c>
      <c r="B52" s="103" t="s">
        <v>465</v>
      </c>
      <c r="C52" s="144">
        <v>0</v>
      </c>
      <c r="D52" s="144">
        <v>0</v>
      </c>
      <c r="E52" s="144">
        <v>756804.45</v>
      </c>
      <c r="F52" s="144">
        <v>0</v>
      </c>
      <c r="G52" s="144">
        <v>65747.59</v>
      </c>
      <c r="H52" s="144">
        <v>0</v>
      </c>
      <c r="I52" s="144">
        <v>822552.04</v>
      </c>
      <c r="J52" s="144">
        <v>0</v>
      </c>
      <c r="K52" s="144">
        <v>822552.04</v>
      </c>
      <c r="L52" s="144">
        <v>0</v>
      </c>
    </row>
    <row r="53" spans="1:12" x14ac:dyDescent="0.3">
      <c r="A53" s="221" t="s">
        <v>1073</v>
      </c>
      <c r="B53" s="103" t="s">
        <v>798</v>
      </c>
      <c r="C53" s="144">
        <v>0</v>
      </c>
      <c r="D53" s="144">
        <v>0</v>
      </c>
      <c r="E53" s="144">
        <v>276025.28999999998</v>
      </c>
      <c r="F53" s="144">
        <v>0</v>
      </c>
      <c r="G53" s="144">
        <v>22888.82</v>
      </c>
      <c r="H53" s="144">
        <v>0</v>
      </c>
      <c r="I53" s="144">
        <v>298914.11</v>
      </c>
      <c r="J53" s="144">
        <v>0</v>
      </c>
      <c r="K53" s="144">
        <v>298914.11</v>
      </c>
      <c r="L53" s="144">
        <v>0</v>
      </c>
    </row>
    <row r="54" spans="1:12" x14ac:dyDescent="0.3">
      <c r="A54" s="221" t="s">
        <v>852</v>
      </c>
      <c r="B54" s="103" t="s">
        <v>55</v>
      </c>
      <c r="C54" s="144">
        <v>0</v>
      </c>
      <c r="D54" s="144">
        <v>0</v>
      </c>
      <c r="E54" s="144">
        <v>17776.95</v>
      </c>
      <c r="F54" s="144">
        <v>0</v>
      </c>
      <c r="G54" s="144">
        <v>632.15</v>
      </c>
      <c r="H54" s="144">
        <v>0</v>
      </c>
      <c r="I54" s="144">
        <v>18409.099999999999</v>
      </c>
      <c r="J54" s="144">
        <v>0</v>
      </c>
      <c r="K54" s="144">
        <v>18409.099999999999</v>
      </c>
      <c r="L54" s="144">
        <v>0</v>
      </c>
    </row>
    <row r="55" spans="1:12" x14ac:dyDescent="0.3">
      <c r="A55" s="221" t="s">
        <v>889</v>
      </c>
      <c r="B55" s="103" t="s">
        <v>27</v>
      </c>
      <c r="C55" s="144">
        <v>0</v>
      </c>
      <c r="D55" s="144">
        <v>0</v>
      </c>
      <c r="E55" s="144">
        <v>8817.61</v>
      </c>
      <c r="F55" s="144">
        <v>0</v>
      </c>
      <c r="G55" s="144">
        <v>0</v>
      </c>
      <c r="H55" s="144">
        <v>0</v>
      </c>
      <c r="I55" s="144">
        <v>8817.61</v>
      </c>
      <c r="J55" s="144">
        <v>0</v>
      </c>
      <c r="K55" s="144">
        <v>8817.61</v>
      </c>
      <c r="L55" s="144">
        <v>0</v>
      </c>
    </row>
    <row r="56" spans="1:12" x14ac:dyDescent="0.3">
      <c r="A56" s="221" t="s">
        <v>950</v>
      </c>
      <c r="B56" s="103" t="s">
        <v>220</v>
      </c>
      <c r="C56" s="144">
        <v>0</v>
      </c>
      <c r="D56" s="144">
        <v>0</v>
      </c>
      <c r="E56" s="144">
        <v>262.07</v>
      </c>
      <c r="F56" s="144">
        <v>0</v>
      </c>
      <c r="G56" s="144">
        <v>570</v>
      </c>
      <c r="H56" s="144">
        <v>0</v>
      </c>
      <c r="I56" s="144">
        <v>832.07</v>
      </c>
      <c r="J56" s="144">
        <v>0</v>
      </c>
      <c r="K56" s="144">
        <v>832.07</v>
      </c>
      <c r="L56" s="144">
        <v>0</v>
      </c>
    </row>
    <row r="57" spans="1:12" x14ac:dyDescent="0.3">
      <c r="A57" s="221" t="s">
        <v>310</v>
      </c>
      <c r="B57" s="103" t="s">
        <v>1281</v>
      </c>
      <c r="C57" s="144">
        <v>0</v>
      </c>
      <c r="D57" s="144">
        <v>0</v>
      </c>
      <c r="E57" s="144">
        <v>3061.06</v>
      </c>
      <c r="F57" s="144">
        <v>0</v>
      </c>
      <c r="G57" s="144">
        <v>369.95</v>
      </c>
      <c r="H57" s="144">
        <v>0</v>
      </c>
      <c r="I57" s="144">
        <v>3431.01</v>
      </c>
      <c r="J57" s="144">
        <v>0</v>
      </c>
      <c r="K57" s="144">
        <v>3431.01</v>
      </c>
      <c r="L57" s="144">
        <v>0</v>
      </c>
    </row>
    <row r="58" spans="1:12" x14ac:dyDescent="0.3">
      <c r="A58" s="221" t="s">
        <v>945</v>
      </c>
      <c r="B58" s="103" t="s">
        <v>1083</v>
      </c>
      <c r="C58" s="144">
        <v>0</v>
      </c>
      <c r="D58" s="144">
        <v>0</v>
      </c>
      <c r="E58" s="144">
        <v>10981.89</v>
      </c>
      <c r="F58" s="144">
        <v>0</v>
      </c>
      <c r="G58" s="144">
        <v>10706.59</v>
      </c>
      <c r="H58" s="144">
        <v>0</v>
      </c>
      <c r="I58" s="144">
        <v>21688.48</v>
      </c>
      <c r="J58" s="144">
        <v>0</v>
      </c>
      <c r="K58" s="144">
        <v>21688.48</v>
      </c>
      <c r="L58" s="144">
        <v>0</v>
      </c>
    </row>
    <row r="59" spans="1:12" x14ac:dyDescent="0.3">
      <c r="A59" s="221" t="s">
        <v>292</v>
      </c>
      <c r="B59" s="103" t="s">
        <v>490</v>
      </c>
      <c r="C59" s="144">
        <v>0</v>
      </c>
      <c r="D59" s="144">
        <v>0</v>
      </c>
      <c r="E59" s="144">
        <v>263592</v>
      </c>
      <c r="F59" s="144">
        <v>0</v>
      </c>
      <c r="G59" s="144">
        <v>107962</v>
      </c>
      <c r="H59" s="144">
        <v>0</v>
      </c>
      <c r="I59" s="144">
        <v>371554</v>
      </c>
      <c r="J59" s="144">
        <v>0</v>
      </c>
      <c r="K59" s="144">
        <v>371554</v>
      </c>
      <c r="L59" s="144">
        <v>0</v>
      </c>
    </row>
    <row r="60" spans="1:12" x14ac:dyDescent="0.3">
      <c r="A60" s="221" t="s">
        <v>1287</v>
      </c>
      <c r="B60" s="103" t="s">
        <v>665</v>
      </c>
      <c r="C60" s="144">
        <v>0</v>
      </c>
      <c r="D60" s="144">
        <v>0</v>
      </c>
      <c r="E60" s="144">
        <v>200.36</v>
      </c>
      <c r="F60" s="144">
        <v>0</v>
      </c>
      <c r="G60" s="144">
        <v>0</v>
      </c>
      <c r="H60" s="144">
        <v>0</v>
      </c>
      <c r="I60" s="144">
        <v>200.36</v>
      </c>
      <c r="J60" s="144">
        <v>0</v>
      </c>
      <c r="K60" s="144">
        <v>200.36</v>
      </c>
      <c r="L60" s="144">
        <v>0</v>
      </c>
    </row>
    <row r="61" spans="1:12" x14ac:dyDescent="0.3">
      <c r="A61" s="221" t="s">
        <v>934</v>
      </c>
      <c r="B61" s="103" t="s">
        <v>831</v>
      </c>
      <c r="C61" s="144">
        <v>0</v>
      </c>
      <c r="D61" s="144">
        <v>0</v>
      </c>
      <c r="E61" s="144">
        <v>6695.92</v>
      </c>
      <c r="F61" s="144">
        <v>0</v>
      </c>
      <c r="G61" s="144">
        <v>9306.5</v>
      </c>
      <c r="H61" s="144">
        <v>0</v>
      </c>
      <c r="I61" s="144">
        <v>16002.42</v>
      </c>
      <c r="J61" s="144">
        <v>0</v>
      </c>
      <c r="K61" s="144">
        <v>16002.42</v>
      </c>
      <c r="L61" s="144">
        <v>0</v>
      </c>
    </row>
    <row r="62" spans="1:12" x14ac:dyDescent="0.3">
      <c r="A62" s="221" t="s">
        <v>532</v>
      </c>
      <c r="B62" s="103" t="s">
        <v>863</v>
      </c>
      <c r="C62" s="144">
        <v>0</v>
      </c>
      <c r="D62" s="144">
        <v>0</v>
      </c>
      <c r="E62" s="144">
        <v>37019.160000000003</v>
      </c>
      <c r="F62" s="144">
        <v>0</v>
      </c>
      <c r="G62" s="144">
        <v>2107.65</v>
      </c>
      <c r="H62" s="144">
        <v>0</v>
      </c>
      <c r="I62" s="144">
        <v>39126.81</v>
      </c>
      <c r="J62" s="144">
        <v>0</v>
      </c>
      <c r="K62" s="144">
        <v>39126.81</v>
      </c>
      <c r="L62" s="144">
        <v>0</v>
      </c>
    </row>
    <row r="63" spans="1:12" x14ac:dyDescent="0.3">
      <c r="A63" s="221" t="s">
        <v>876</v>
      </c>
      <c r="B63" s="103" t="s">
        <v>1047</v>
      </c>
      <c r="C63" s="144">
        <v>0</v>
      </c>
      <c r="D63" s="144">
        <v>0</v>
      </c>
      <c r="E63" s="144">
        <v>500</v>
      </c>
      <c r="F63" s="144">
        <v>0</v>
      </c>
      <c r="G63" s="144">
        <v>0</v>
      </c>
      <c r="H63" s="144">
        <v>0</v>
      </c>
      <c r="I63" s="144">
        <v>500</v>
      </c>
      <c r="J63" s="144">
        <v>0</v>
      </c>
      <c r="K63" s="144">
        <v>500</v>
      </c>
      <c r="L63" s="144">
        <v>0</v>
      </c>
    </row>
    <row r="64" spans="1:12" x14ac:dyDescent="0.3">
      <c r="A64" s="221" t="s">
        <v>4</v>
      </c>
      <c r="B64" s="103" t="s">
        <v>1059</v>
      </c>
      <c r="C64" s="144">
        <v>0</v>
      </c>
      <c r="D64" s="144">
        <v>0</v>
      </c>
      <c r="E64" s="144">
        <v>29.65</v>
      </c>
      <c r="F64" s="144">
        <v>0</v>
      </c>
      <c r="G64" s="144">
        <v>20941.759999999998</v>
      </c>
      <c r="H64" s="144">
        <v>0</v>
      </c>
      <c r="I64" s="144">
        <v>20971.41</v>
      </c>
      <c r="J64" s="144">
        <v>0</v>
      </c>
      <c r="K64" s="144">
        <v>20971.41</v>
      </c>
      <c r="L64" s="144">
        <v>0</v>
      </c>
    </row>
    <row r="65" spans="1:12" x14ac:dyDescent="0.3">
      <c r="A65" s="221" t="s">
        <v>557</v>
      </c>
      <c r="B65" s="103" t="s">
        <v>199</v>
      </c>
      <c r="C65" s="144">
        <v>0</v>
      </c>
      <c r="D65" s="144">
        <v>0</v>
      </c>
      <c r="E65" s="144">
        <v>0</v>
      </c>
      <c r="F65" s="144">
        <v>261668.08</v>
      </c>
      <c r="G65" s="144">
        <v>0</v>
      </c>
      <c r="H65" s="144">
        <v>0</v>
      </c>
      <c r="I65" s="144">
        <v>0</v>
      </c>
      <c r="J65" s="144">
        <v>261668.08</v>
      </c>
      <c r="K65" s="144">
        <v>0</v>
      </c>
      <c r="L65" s="144">
        <v>261668.08</v>
      </c>
    </row>
    <row r="66" spans="1:12" x14ac:dyDescent="0.3">
      <c r="A66" s="221" t="s">
        <v>211</v>
      </c>
      <c r="B66" s="103" t="s">
        <v>703</v>
      </c>
      <c r="C66" s="144">
        <v>0</v>
      </c>
      <c r="D66" s="144">
        <v>0</v>
      </c>
      <c r="E66" s="144">
        <v>0</v>
      </c>
      <c r="F66" s="144">
        <v>15841816.970000001</v>
      </c>
      <c r="G66" s="144">
        <v>0</v>
      </c>
      <c r="H66" s="144">
        <v>129028.66</v>
      </c>
      <c r="I66" s="144">
        <v>0</v>
      </c>
      <c r="J66" s="144">
        <v>15970845.630000001</v>
      </c>
      <c r="K66" s="144">
        <v>0</v>
      </c>
      <c r="L66" s="144">
        <v>15970845.630000001</v>
      </c>
    </row>
    <row r="67" spans="1:12" x14ac:dyDescent="0.3">
      <c r="A67" s="221" t="s">
        <v>519</v>
      </c>
      <c r="B67" s="103" t="s">
        <v>833</v>
      </c>
      <c r="C67" s="144">
        <v>0</v>
      </c>
      <c r="D67" s="144">
        <v>0</v>
      </c>
      <c r="E67" s="144">
        <v>0</v>
      </c>
      <c r="F67" s="144">
        <v>0</v>
      </c>
      <c r="G67" s="144">
        <v>0</v>
      </c>
      <c r="H67" s="144">
        <v>614271</v>
      </c>
      <c r="I67" s="144">
        <v>0</v>
      </c>
      <c r="J67" s="144">
        <v>614271</v>
      </c>
      <c r="K67" s="144">
        <v>0</v>
      </c>
      <c r="L67" s="144">
        <v>614271</v>
      </c>
    </row>
    <row r="68" spans="1:12" x14ac:dyDescent="0.3">
      <c r="A68" s="221" t="s">
        <v>558</v>
      </c>
      <c r="B68" s="103" t="s">
        <v>80</v>
      </c>
      <c r="C68" s="144">
        <v>0</v>
      </c>
      <c r="D68" s="144">
        <v>0</v>
      </c>
      <c r="E68" s="144">
        <v>0</v>
      </c>
      <c r="F68" s="144">
        <v>62693.07</v>
      </c>
      <c r="G68" s="144">
        <v>0</v>
      </c>
      <c r="H68" s="144">
        <v>0</v>
      </c>
      <c r="I68" s="144">
        <v>0</v>
      </c>
      <c r="J68" s="144">
        <v>62693.07</v>
      </c>
      <c r="K68" s="144">
        <v>0</v>
      </c>
      <c r="L68" s="144">
        <v>62693.07</v>
      </c>
    </row>
    <row r="69" spans="1:12" x14ac:dyDescent="0.3">
      <c r="A69" s="221" t="s">
        <v>458</v>
      </c>
      <c r="B69" s="103" t="s">
        <v>102</v>
      </c>
      <c r="C69" s="144">
        <v>0</v>
      </c>
      <c r="D69" s="144">
        <v>0</v>
      </c>
      <c r="E69" s="144">
        <v>0</v>
      </c>
      <c r="F69" s="144">
        <v>137607.88</v>
      </c>
      <c r="G69" s="144">
        <v>0</v>
      </c>
      <c r="H69" s="144">
        <v>0</v>
      </c>
      <c r="I69" s="144">
        <v>0</v>
      </c>
      <c r="J69" s="144">
        <v>137607.88</v>
      </c>
      <c r="K69" s="144">
        <v>0</v>
      </c>
      <c r="L69" s="144">
        <v>137607.88</v>
      </c>
    </row>
    <row r="70" spans="1:12" x14ac:dyDescent="0.3">
      <c r="A70" s="221" t="s">
        <v>383</v>
      </c>
      <c r="B70" s="103" t="s">
        <v>669</v>
      </c>
      <c r="C70" s="144">
        <v>0</v>
      </c>
      <c r="D70" s="144">
        <v>0</v>
      </c>
      <c r="E70" s="144">
        <v>0</v>
      </c>
      <c r="F70" s="144">
        <v>0.01</v>
      </c>
      <c r="G70" s="144">
        <v>0</v>
      </c>
      <c r="H70" s="144">
        <v>39930.54</v>
      </c>
      <c r="I70" s="144">
        <v>0</v>
      </c>
      <c r="J70" s="144">
        <v>39930.550000000003</v>
      </c>
      <c r="K70" s="144">
        <v>0</v>
      </c>
      <c r="L70" s="144">
        <v>39930.550000000003</v>
      </c>
    </row>
    <row r="71" spans="1:12" x14ac:dyDescent="0.3">
      <c r="A71" s="221" t="s">
        <v>386</v>
      </c>
      <c r="B71" s="103" t="s">
        <v>665</v>
      </c>
      <c r="C71" s="144">
        <v>0</v>
      </c>
      <c r="D71" s="144">
        <v>0</v>
      </c>
      <c r="E71" s="144">
        <v>0</v>
      </c>
      <c r="F71" s="144">
        <v>156.56</v>
      </c>
      <c r="G71" s="144">
        <v>0</v>
      </c>
      <c r="H71" s="144">
        <v>28.62</v>
      </c>
      <c r="I71" s="144">
        <v>0</v>
      </c>
      <c r="J71" s="144">
        <v>185.18</v>
      </c>
      <c r="K71" s="144">
        <v>0</v>
      </c>
      <c r="L71" s="144">
        <v>185.18</v>
      </c>
    </row>
    <row r="72" spans="1:12" x14ac:dyDescent="0.3">
      <c r="A72" s="221" t="s">
        <v>404</v>
      </c>
      <c r="B72" s="103" t="s">
        <v>955</v>
      </c>
      <c r="C72" s="144">
        <v>0</v>
      </c>
      <c r="D72" s="144">
        <v>0</v>
      </c>
      <c r="E72" s="144">
        <v>0</v>
      </c>
      <c r="F72" s="144">
        <v>10283.48</v>
      </c>
      <c r="G72" s="144">
        <v>0</v>
      </c>
      <c r="H72" s="144">
        <v>1092.57</v>
      </c>
      <c r="I72" s="144">
        <v>0</v>
      </c>
      <c r="J72" s="144">
        <v>11376.05</v>
      </c>
      <c r="K72" s="144">
        <v>0</v>
      </c>
      <c r="L72" s="144">
        <v>11376.05</v>
      </c>
    </row>
    <row r="73" spans="1:12" x14ac:dyDescent="0.3">
      <c r="A73" s="221" t="s">
        <v>352</v>
      </c>
      <c r="B73" s="103" t="s">
        <v>638</v>
      </c>
      <c r="C73" s="144">
        <v>0</v>
      </c>
      <c r="D73" s="144">
        <v>0</v>
      </c>
      <c r="E73" s="144">
        <v>-103</v>
      </c>
      <c r="F73" s="144">
        <v>3591.59</v>
      </c>
      <c r="G73" s="144">
        <v>0</v>
      </c>
      <c r="H73" s="144">
        <v>0</v>
      </c>
      <c r="I73" s="144">
        <v>-103</v>
      </c>
      <c r="J73" s="144">
        <v>3591.59</v>
      </c>
      <c r="K73" s="144">
        <v>0</v>
      </c>
      <c r="L73" s="144">
        <v>3694.59</v>
      </c>
    </row>
    <row r="74" spans="1:12" x14ac:dyDescent="0.3">
      <c r="A74" s="221" t="s">
        <v>270</v>
      </c>
      <c r="B74" s="103" t="s">
        <v>779</v>
      </c>
      <c r="C74" s="144">
        <v>0</v>
      </c>
      <c r="D74" s="144">
        <v>0</v>
      </c>
      <c r="E74" s="144">
        <v>0</v>
      </c>
      <c r="F74" s="144">
        <v>0</v>
      </c>
      <c r="G74" s="144">
        <v>0</v>
      </c>
      <c r="H74" s="144">
        <v>0</v>
      </c>
      <c r="I74" s="144">
        <v>11625084.07</v>
      </c>
      <c r="J74" s="144">
        <v>11625084.07</v>
      </c>
      <c r="K74" s="144">
        <v>0</v>
      </c>
      <c r="L74" s="144">
        <v>0</v>
      </c>
    </row>
    <row r="75" spans="1:12" x14ac:dyDescent="0.3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 x14ac:dyDescent="0.3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3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3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3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3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3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3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3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3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3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3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3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3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3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3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3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3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3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3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3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3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3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3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3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3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3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3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3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3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3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3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3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3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3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3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3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3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3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3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3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3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3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3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3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3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3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3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3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3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56"/>
  <sheetViews>
    <sheetView zoomScaleNormal="100" zoomScaleSheetLayoutView="100" workbookViewId="0"/>
  </sheetViews>
  <sheetFormatPr defaultColWidth="9.109375" defaultRowHeight="14.4" x14ac:dyDescent="0.3"/>
  <cols>
    <col min="1" max="1" width="16.5546875" style="58" customWidth="1"/>
    <col min="2" max="2" width="46.6640625" style="2" customWidth="1"/>
    <col min="3" max="12" width="15.33203125" style="236" customWidth="1"/>
    <col min="13" max="16384" width="9.109375" style="112"/>
  </cols>
  <sheetData>
    <row r="1" spans="1:12" ht="20.399999999999999" x14ac:dyDescent="0.3">
      <c r="A1" s="51" t="s">
        <v>448</v>
      </c>
      <c r="B1" s="11" t="s">
        <v>579</v>
      </c>
      <c r="C1" s="157" t="s">
        <v>802</v>
      </c>
      <c r="D1" s="157" t="s">
        <v>1002</v>
      </c>
      <c r="E1" s="157" t="s">
        <v>435</v>
      </c>
      <c r="F1" s="157" t="s">
        <v>765</v>
      </c>
      <c r="G1" s="157" t="s">
        <v>381</v>
      </c>
      <c r="H1" s="157" t="s">
        <v>700</v>
      </c>
      <c r="I1" s="157" t="s">
        <v>727</v>
      </c>
      <c r="J1" s="157" t="s">
        <v>702</v>
      </c>
      <c r="K1" s="157" t="s">
        <v>1046</v>
      </c>
      <c r="L1" s="157" t="s">
        <v>196</v>
      </c>
    </row>
    <row r="2" spans="1:12" x14ac:dyDescent="0.3">
      <c r="A2" s="221" t="s">
        <v>933</v>
      </c>
      <c r="B2" s="103" t="s">
        <v>732</v>
      </c>
      <c r="C2" s="144">
        <v>32419.8</v>
      </c>
      <c r="D2" s="144">
        <v>0</v>
      </c>
      <c r="E2" s="144">
        <v>13000</v>
      </c>
      <c r="F2" s="135">
        <v>0</v>
      </c>
      <c r="G2" s="135">
        <v>0</v>
      </c>
      <c r="H2" s="135">
        <v>0</v>
      </c>
      <c r="I2" s="144">
        <v>13000</v>
      </c>
      <c r="J2" s="135">
        <v>0</v>
      </c>
      <c r="K2" s="144">
        <v>45419.8</v>
      </c>
      <c r="L2" s="144">
        <v>0</v>
      </c>
    </row>
    <row r="3" spans="1:12" x14ac:dyDescent="0.3">
      <c r="A3" s="221" t="s">
        <v>973</v>
      </c>
      <c r="B3" s="103" t="s">
        <v>515</v>
      </c>
      <c r="C3" s="144">
        <v>1323885.77</v>
      </c>
      <c r="D3" s="144">
        <v>0</v>
      </c>
      <c r="E3" s="135">
        <v>0</v>
      </c>
      <c r="F3" s="135">
        <v>0</v>
      </c>
      <c r="G3" s="135">
        <v>0</v>
      </c>
      <c r="H3" s="135">
        <v>0</v>
      </c>
      <c r="I3" s="135">
        <v>0</v>
      </c>
      <c r="J3" s="135">
        <v>0</v>
      </c>
      <c r="K3" s="144">
        <v>1323885.77</v>
      </c>
      <c r="L3" s="144">
        <v>0</v>
      </c>
    </row>
    <row r="4" spans="1:12" x14ac:dyDescent="0.3">
      <c r="A4" s="221" t="s">
        <v>9</v>
      </c>
      <c r="B4" s="103" t="s">
        <v>282</v>
      </c>
      <c r="C4" s="144">
        <v>3100732.57</v>
      </c>
      <c r="D4" s="144">
        <v>0</v>
      </c>
      <c r="E4" s="144">
        <v>404622.19</v>
      </c>
      <c r="F4" s="135">
        <v>0</v>
      </c>
      <c r="G4" s="144">
        <v>0</v>
      </c>
      <c r="H4" s="135">
        <v>0</v>
      </c>
      <c r="I4" s="144">
        <v>404622.19</v>
      </c>
      <c r="J4" s="135">
        <v>0</v>
      </c>
      <c r="K4" s="144">
        <v>3505354.76</v>
      </c>
      <c r="L4" s="144">
        <v>0</v>
      </c>
    </row>
    <row r="5" spans="1:12" x14ac:dyDescent="0.3">
      <c r="A5" s="221" t="s">
        <v>859</v>
      </c>
      <c r="B5" s="103" t="s">
        <v>1070</v>
      </c>
      <c r="C5" s="144">
        <v>99914.42</v>
      </c>
      <c r="D5" s="144">
        <v>0</v>
      </c>
      <c r="E5" s="135">
        <v>0</v>
      </c>
      <c r="F5" s="135">
        <v>0</v>
      </c>
      <c r="G5" s="135">
        <v>0</v>
      </c>
      <c r="H5" s="135">
        <v>0</v>
      </c>
      <c r="I5" s="135">
        <v>0</v>
      </c>
      <c r="J5" s="135">
        <v>0</v>
      </c>
      <c r="K5" s="144">
        <v>99914.42</v>
      </c>
      <c r="L5" s="144">
        <v>0</v>
      </c>
    </row>
    <row r="6" spans="1:12" x14ac:dyDescent="0.3">
      <c r="A6" s="221" t="s">
        <v>1096</v>
      </c>
      <c r="B6" s="103" t="s">
        <v>975</v>
      </c>
      <c r="C6" s="144">
        <v>0</v>
      </c>
      <c r="D6" s="144">
        <v>0</v>
      </c>
      <c r="E6" s="144">
        <v>13000</v>
      </c>
      <c r="F6" s="144">
        <v>13000</v>
      </c>
      <c r="G6" s="135">
        <v>0</v>
      </c>
      <c r="H6" s="135">
        <v>0</v>
      </c>
      <c r="I6" s="144">
        <v>13000</v>
      </c>
      <c r="J6" s="144">
        <v>13000</v>
      </c>
      <c r="K6" s="144">
        <v>0</v>
      </c>
      <c r="L6" s="144">
        <v>0</v>
      </c>
    </row>
    <row r="7" spans="1:12" x14ac:dyDescent="0.3">
      <c r="A7" s="221" t="s">
        <v>1040</v>
      </c>
      <c r="B7" s="103" t="s">
        <v>428</v>
      </c>
      <c r="C7" s="144">
        <v>0</v>
      </c>
      <c r="D7" s="144">
        <v>0</v>
      </c>
      <c r="E7" s="144">
        <v>404754.19</v>
      </c>
      <c r="F7" s="144">
        <v>404622.19</v>
      </c>
      <c r="G7" s="144">
        <v>68876.28</v>
      </c>
      <c r="H7" s="144">
        <v>0</v>
      </c>
      <c r="I7" s="144">
        <v>473630.47</v>
      </c>
      <c r="J7" s="144">
        <v>404622.19</v>
      </c>
      <c r="K7" s="144">
        <v>69008.28</v>
      </c>
      <c r="L7" s="144">
        <v>0</v>
      </c>
    </row>
    <row r="8" spans="1:12" x14ac:dyDescent="0.3">
      <c r="A8" s="221" t="s">
        <v>223</v>
      </c>
      <c r="B8" s="103" t="s">
        <v>1249</v>
      </c>
      <c r="C8" s="144">
        <v>0</v>
      </c>
      <c r="D8" s="144">
        <v>0</v>
      </c>
      <c r="E8" s="144">
        <v>71949.69</v>
      </c>
      <c r="F8" s="135">
        <v>0</v>
      </c>
      <c r="G8" s="144">
        <v>120795.45</v>
      </c>
      <c r="H8" s="135">
        <v>0</v>
      </c>
      <c r="I8" s="144">
        <v>192745.14</v>
      </c>
      <c r="J8" s="135">
        <v>0</v>
      </c>
      <c r="K8" s="144">
        <v>192745.14</v>
      </c>
      <c r="L8" s="144">
        <v>0</v>
      </c>
    </row>
    <row r="9" spans="1:12" x14ac:dyDescent="0.3">
      <c r="A9" s="221" t="s">
        <v>565</v>
      </c>
      <c r="B9" s="103" t="s">
        <v>157</v>
      </c>
      <c r="C9" s="144">
        <v>174871.74</v>
      </c>
      <c r="D9" s="144">
        <v>0</v>
      </c>
      <c r="E9" s="144">
        <v>25048.97</v>
      </c>
      <c r="F9" s="135">
        <v>0</v>
      </c>
      <c r="G9" s="144">
        <v>1989</v>
      </c>
      <c r="H9" s="135">
        <v>0</v>
      </c>
      <c r="I9" s="144">
        <v>27037.97</v>
      </c>
      <c r="J9" s="135">
        <v>0</v>
      </c>
      <c r="K9" s="144">
        <v>201909.71</v>
      </c>
      <c r="L9" s="144">
        <v>0</v>
      </c>
    </row>
    <row r="10" spans="1:12" x14ac:dyDescent="0.3">
      <c r="A10" s="221" t="s">
        <v>993</v>
      </c>
      <c r="B10" s="103" t="s">
        <v>935</v>
      </c>
      <c r="C10" s="144">
        <v>0</v>
      </c>
      <c r="D10" s="144">
        <v>0</v>
      </c>
      <c r="E10" s="144">
        <v>0</v>
      </c>
      <c r="F10" s="135">
        <v>0</v>
      </c>
      <c r="G10" s="135">
        <v>0</v>
      </c>
      <c r="H10" s="135">
        <v>0</v>
      </c>
      <c r="I10" s="144">
        <v>0</v>
      </c>
      <c r="J10" s="135">
        <v>0</v>
      </c>
      <c r="K10" s="144">
        <v>0</v>
      </c>
      <c r="L10" s="144">
        <v>0</v>
      </c>
    </row>
    <row r="11" spans="1:12" x14ac:dyDescent="0.3">
      <c r="A11" s="221" t="s">
        <v>1058</v>
      </c>
      <c r="B11" s="103" t="s">
        <v>1309</v>
      </c>
      <c r="C11" s="144">
        <v>0</v>
      </c>
      <c r="D11" s="144">
        <v>0</v>
      </c>
      <c r="E11" s="144">
        <v>42111.839999999997</v>
      </c>
      <c r="F11" s="135">
        <v>0</v>
      </c>
      <c r="G11" s="135">
        <v>0</v>
      </c>
      <c r="H11" s="135">
        <v>0</v>
      </c>
      <c r="I11" s="144">
        <v>42111.839999999997</v>
      </c>
      <c r="J11" s="135">
        <v>0</v>
      </c>
      <c r="K11" s="144">
        <v>42111.839999999997</v>
      </c>
      <c r="L11" s="144">
        <v>0</v>
      </c>
    </row>
    <row r="12" spans="1:12" x14ac:dyDescent="0.3">
      <c r="A12" s="221" t="s">
        <v>203</v>
      </c>
      <c r="B12" s="103" t="s">
        <v>1320</v>
      </c>
      <c r="C12" s="144">
        <v>0</v>
      </c>
      <c r="D12" s="144">
        <v>14157.73</v>
      </c>
      <c r="E12" s="135">
        <v>0</v>
      </c>
      <c r="F12" s="144">
        <v>8401</v>
      </c>
      <c r="G12" s="135">
        <v>0</v>
      </c>
      <c r="H12" s="144">
        <v>808</v>
      </c>
      <c r="I12" s="135">
        <v>0</v>
      </c>
      <c r="J12" s="144">
        <v>9209</v>
      </c>
      <c r="K12" s="144">
        <v>0</v>
      </c>
      <c r="L12" s="144">
        <v>23366.73</v>
      </c>
    </row>
    <row r="13" spans="1:12" x14ac:dyDescent="0.3">
      <c r="A13" s="221" t="s">
        <v>1219</v>
      </c>
      <c r="B13" s="103" t="s">
        <v>487</v>
      </c>
      <c r="C13" s="144">
        <v>0</v>
      </c>
      <c r="D13" s="144">
        <v>635952</v>
      </c>
      <c r="E13" s="135">
        <v>0</v>
      </c>
      <c r="F13" s="144">
        <v>79585</v>
      </c>
      <c r="G13" s="135">
        <v>0</v>
      </c>
      <c r="H13" s="144">
        <v>7234</v>
      </c>
      <c r="I13" s="135">
        <v>0</v>
      </c>
      <c r="J13" s="144">
        <v>86819</v>
      </c>
      <c r="K13" s="144">
        <v>0</v>
      </c>
      <c r="L13" s="144">
        <v>722771</v>
      </c>
    </row>
    <row r="14" spans="1:12" x14ac:dyDescent="0.3">
      <c r="A14" s="221" t="s">
        <v>132</v>
      </c>
      <c r="B14" s="103" t="s">
        <v>855</v>
      </c>
      <c r="C14" s="144">
        <v>0</v>
      </c>
      <c r="D14" s="144">
        <v>2701510.83</v>
      </c>
      <c r="E14" s="135">
        <v>0</v>
      </c>
      <c r="F14" s="144">
        <v>166052.5</v>
      </c>
      <c r="G14" s="135">
        <v>0</v>
      </c>
      <c r="H14" s="144">
        <v>18604.22</v>
      </c>
      <c r="I14" s="135">
        <v>0</v>
      </c>
      <c r="J14" s="144">
        <v>184656.72</v>
      </c>
      <c r="K14" s="144">
        <v>0</v>
      </c>
      <c r="L14" s="144">
        <v>2886167.55</v>
      </c>
    </row>
    <row r="15" spans="1:12" x14ac:dyDescent="0.3">
      <c r="A15" s="221" t="s">
        <v>1245</v>
      </c>
      <c r="B15" s="103" t="s">
        <v>923</v>
      </c>
      <c r="C15" s="144">
        <v>0</v>
      </c>
      <c r="D15" s="144">
        <v>0</v>
      </c>
      <c r="E15" s="144">
        <v>5967259.2199999997</v>
      </c>
      <c r="F15" s="144">
        <v>5967255.0300000003</v>
      </c>
      <c r="G15" s="144">
        <v>278073.81</v>
      </c>
      <c r="H15" s="144">
        <v>278078</v>
      </c>
      <c r="I15" s="144">
        <v>6245333.0300000003</v>
      </c>
      <c r="J15" s="144">
        <v>6245333.0300000003</v>
      </c>
      <c r="K15" s="144">
        <v>0</v>
      </c>
      <c r="L15" s="144">
        <v>0</v>
      </c>
    </row>
    <row r="16" spans="1:12" x14ac:dyDescent="0.3">
      <c r="A16" s="221" t="s">
        <v>1232</v>
      </c>
      <c r="B16" s="103" t="s">
        <v>1088</v>
      </c>
      <c r="C16" s="144">
        <v>291941.90999999997</v>
      </c>
      <c r="D16" s="144">
        <v>0</v>
      </c>
      <c r="E16" s="144">
        <v>5967255.0300000003</v>
      </c>
      <c r="F16" s="144">
        <v>5294584.3099999996</v>
      </c>
      <c r="G16" s="144">
        <v>278074.40999999997</v>
      </c>
      <c r="H16" s="144">
        <v>1050180.92</v>
      </c>
      <c r="I16" s="144">
        <v>6245329.4400000004</v>
      </c>
      <c r="J16" s="144">
        <v>6344765.2300000004</v>
      </c>
      <c r="K16" s="144">
        <v>192506.12</v>
      </c>
      <c r="L16" s="144">
        <v>0</v>
      </c>
    </row>
    <row r="17" spans="1:12" x14ac:dyDescent="0.3">
      <c r="A17" s="221" t="s">
        <v>648</v>
      </c>
      <c r="B17" s="103" t="s">
        <v>97</v>
      </c>
      <c r="C17" s="144">
        <v>2365.21</v>
      </c>
      <c r="D17" s="144">
        <v>0</v>
      </c>
      <c r="E17" s="135">
        <v>0</v>
      </c>
      <c r="F17" s="144">
        <v>2365.21</v>
      </c>
      <c r="G17" s="144">
        <v>3199.5</v>
      </c>
      <c r="H17" s="135">
        <v>0</v>
      </c>
      <c r="I17" s="144">
        <v>3199.5</v>
      </c>
      <c r="J17" s="144">
        <v>2365.21</v>
      </c>
      <c r="K17" s="144">
        <v>3199.5</v>
      </c>
      <c r="L17" s="144">
        <v>0</v>
      </c>
    </row>
    <row r="18" spans="1:12" x14ac:dyDescent="0.3">
      <c r="A18" s="221" t="s">
        <v>994</v>
      </c>
      <c r="B18" s="103" t="s">
        <v>237</v>
      </c>
      <c r="C18" s="144">
        <v>27798.48</v>
      </c>
      <c r="D18" s="144">
        <v>0</v>
      </c>
      <c r="E18" s="144">
        <v>462508.51</v>
      </c>
      <c r="F18" s="144">
        <v>240018.71</v>
      </c>
      <c r="G18" s="144">
        <v>104216.36</v>
      </c>
      <c r="H18" s="144">
        <v>19809.400000000001</v>
      </c>
      <c r="I18" s="144">
        <v>566724.87</v>
      </c>
      <c r="J18" s="144">
        <v>259828.11</v>
      </c>
      <c r="K18" s="144">
        <v>334695.24</v>
      </c>
      <c r="L18" s="144">
        <v>0</v>
      </c>
    </row>
    <row r="19" spans="1:12" x14ac:dyDescent="0.3">
      <c r="A19" s="221" t="s">
        <v>445</v>
      </c>
      <c r="B19" s="103" t="s">
        <v>20</v>
      </c>
      <c r="C19" s="144">
        <v>37441.300000000003</v>
      </c>
      <c r="D19" s="144">
        <v>0</v>
      </c>
      <c r="E19" s="144">
        <v>41324.54</v>
      </c>
      <c r="F19" s="144">
        <v>27581.4</v>
      </c>
      <c r="G19" s="135">
        <v>0</v>
      </c>
      <c r="H19" s="144">
        <v>1073.06</v>
      </c>
      <c r="I19" s="144">
        <v>41324.54</v>
      </c>
      <c r="J19" s="144">
        <v>28654.46</v>
      </c>
      <c r="K19" s="144">
        <v>50111.38</v>
      </c>
      <c r="L19" s="144">
        <v>0</v>
      </c>
    </row>
    <row r="20" spans="1:12" x14ac:dyDescent="0.3">
      <c r="A20" s="246" t="s">
        <v>517</v>
      </c>
      <c r="B20" s="70" t="s">
        <v>968</v>
      </c>
      <c r="C20" s="176">
        <v>2407.64</v>
      </c>
      <c r="D20" s="176">
        <v>0</v>
      </c>
      <c r="E20" s="176">
        <v>4739.29</v>
      </c>
      <c r="F20" s="176">
        <v>6820.74</v>
      </c>
      <c r="G20" s="162">
        <v>0</v>
      </c>
      <c r="H20" s="176">
        <v>161.72999999999999</v>
      </c>
      <c r="I20" s="176">
        <v>4739.29</v>
      </c>
      <c r="J20" s="176">
        <v>6982.47</v>
      </c>
      <c r="K20" s="176">
        <v>164.46</v>
      </c>
      <c r="L20" s="176">
        <v>0</v>
      </c>
    </row>
    <row r="21" spans="1:12" x14ac:dyDescent="0.3">
      <c r="A21" s="246" t="s">
        <v>143</v>
      </c>
      <c r="B21" s="70" t="s">
        <v>1066</v>
      </c>
      <c r="C21" s="176">
        <v>380</v>
      </c>
      <c r="D21" s="176">
        <v>0</v>
      </c>
      <c r="E21" s="176">
        <v>12028.27</v>
      </c>
      <c r="F21" s="176">
        <v>11637.66</v>
      </c>
      <c r="G21" s="176">
        <v>262</v>
      </c>
      <c r="H21" s="176">
        <v>852.32</v>
      </c>
      <c r="I21" s="176">
        <v>12290.27</v>
      </c>
      <c r="J21" s="176">
        <v>12489.98</v>
      </c>
      <c r="K21" s="176">
        <v>180.29</v>
      </c>
      <c r="L21" s="176">
        <v>0</v>
      </c>
    </row>
    <row r="22" spans="1:12" x14ac:dyDescent="0.3">
      <c r="A22" s="246" t="s">
        <v>492</v>
      </c>
      <c r="B22" s="70" t="s">
        <v>528</v>
      </c>
      <c r="C22" s="176">
        <v>0</v>
      </c>
      <c r="D22" s="176">
        <v>0</v>
      </c>
      <c r="E22" s="176">
        <v>7157.68</v>
      </c>
      <c r="F22" s="176">
        <v>8117.02</v>
      </c>
      <c r="G22" s="176">
        <v>1806.34</v>
      </c>
      <c r="H22" s="176">
        <v>847</v>
      </c>
      <c r="I22" s="176">
        <v>8964.02</v>
      </c>
      <c r="J22" s="176">
        <v>8964.02</v>
      </c>
      <c r="K22" s="176">
        <v>0</v>
      </c>
      <c r="L22" s="176">
        <v>0</v>
      </c>
    </row>
    <row r="23" spans="1:12" x14ac:dyDescent="0.3">
      <c r="A23" s="246" t="s">
        <v>384</v>
      </c>
      <c r="B23" s="70" t="s">
        <v>455</v>
      </c>
      <c r="C23" s="176">
        <v>1908</v>
      </c>
      <c r="D23" s="176">
        <v>0</v>
      </c>
      <c r="E23" s="176">
        <v>6000</v>
      </c>
      <c r="F23" s="176">
        <v>8553.2000000000007</v>
      </c>
      <c r="G23" s="176">
        <v>3200</v>
      </c>
      <c r="H23" s="176">
        <v>1078.4000000000001</v>
      </c>
      <c r="I23" s="176">
        <v>9200</v>
      </c>
      <c r="J23" s="176">
        <v>9631.6</v>
      </c>
      <c r="K23" s="176">
        <v>1476.4</v>
      </c>
      <c r="L23" s="176">
        <v>0</v>
      </c>
    </row>
    <row r="24" spans="1:12" x14ac:dyDescent="0.3">
      <c r="A24" s="246" t="s">
        <v>142</v>
      </c>
      <c r="B24" s="70" t="s">
        <v>991</v>
      </c>
      <c r="C24" s="176">
        <v>240800.26</v>
      </c>
      <c r="D24" s="176">
        <v>0</v>
      </c>
      <c r="E24" s="176">
        <v>3961574.33</v>
      </c>
      <c r="F24" s="176">
        <v>4161230.13</v>
      </c>
      <c r="G24" s="176">
        <v>770058.74</v>
      </c>
      <c r="H24" s="176">
        <v>128827.11</v>
      </c>
      <c r="I24" s="176">
        <v>4731633.07</v>
      </c>
      <c r="J24" s="176">
        <v>4290057.24</v>
      </c>
      <c r="K24" s="176">
        <v>682376.09</v>
      </c>
      <c r="L24" s="176">
        <v>0</v>
      </c>
    </row>
    <row r="25" spans="1:12" x14ac:dyDescent="0.3">
      <c r="A25" s="246" t="s">
        <v>761</v>
      </c>
      <c r="B25" s="70" t="s">
        <v>814</v>
      </c>
      <c r="C25" s="176">
        <v>233.57</v>
      </c>
      <c r="D25" s="176">
        <v>0</v>
      </c>
      <c r="E25" s="162">
        <v>0</v>
      </c>
      <c r="F25" s="162">
        <v>0</v>
      </c>
      <c r="G25" s="162">
        <v>0</v>
      </c>
      <c r="H25" s="162">
        <v>0</v>
      </c>
      <c r="I25" s="162">
        <v>0</v>
      </c>
      <c r="J25" s="162">
        <v>0</v>
      </c>
      <c r="K25" s="176">
        <v>233.57</v>
      </c>
      <c r="L25" s="176">
        <v>0</v>
      </c>
    </row>
    <row r="26" spans="1:12" x14ac:dyDescent="0.3">
      <c r="A26" s="246" t="s">
        <v>617</v>
      </c>
      <c r="B26" s="70" t="s">
        <v>1303</v>
      </c>
      <c r="C26" s="176">
        <v>831922.34</v>
      </c>
      <c r="D26" s="176">
        <v>0</v>
      </c>
      <c r="E26" s="176">
        <v>5903957.7000000002</v>
      </c>
      <c r="F26" s="176">
        <v>6552783.2000000002</v>
      </c>
      <c r="G26" s="176">
        <v>1880245.09</v>
      </c>
      <c r="H26" s="176">
        <v>1358037.59</v>
      </c>
      <c r="I26" s="176">
        <v>7784202.79</v>
      </c>
      <c r="J26" s="176">
        <v>7910820.79</v>
      </c>
      <c r="K26" s="176">
        <v>705304.34</v>
      </c>
      <c r="L26" s="176">
        <v>0</v>
      </c>
    </row>
    <row r="27" spans="1:12" x14ac:dyDescent="0.3">
      <c r="A27" s="246" t="s">
        <v>628</v>
      </c>
      <c r="B27" s="70" t="s">
        <v>1160</v>
      </c>
      <c r="C27" s="176">
        <v>27331.03</v>
      </c>
      <c r="D27" s="176">
        <v>0</v>
      </c>
      <c r="E27" s="176">
        <v>23274.51</v>
      </c>
      <c r="F27" s="176">
        <v>35658.870000000003</v>
      </c>
      <c r="G27" s="176">
        <v>0.13</v>
      </c>
      <c r="H27" s="176">
        <v>264.92</v>
      </c>
      <c r="I27" s="176">
        <v>23274.639999999999</v>
      </c>
      <c r="J27" s="176">
        <v>35923.79</v>
      </c>
      <c r="K27" s="176">
        <v>14681.88</v>
      </c>
      <c r="L27" s="176">
        <v>0</v>
      </c>
    </row>
    <row r="28" spans="1:12" x14ac:dyDescent="0.3">
      <c r="A28" s="246" t="s">
        <v>1233</v>
      </c>
      <c r="B28" s="70" t="s">
        <v>881</v>
      </c>
      <c r="C28" s="176">
        <v>0</v>
      </c>
      <c r="D28" s="176">
        <v>0</v>
      </c>
      <c r="E28" s="176">
        <v>33558.269999999997</v>
      </c>
      <c r="F28" s="176">
        <v>33558.269999999997</v>
      </c>
      <c r="G28" s="176">
        <v>2025.23</v>
      </c>
      <c r="H28" s="176">
        <v>2025.23</v>
      </c>
      <c r="I28" s="176">
        <v>35583.5</v>
      </c>
      <c r="J28" s="176">
        <v>35583.5</v>
      </c>
      <c r="K28" s="176">
        <v>0</v>
      </c>
      <c r="L28" s="176">
        <v>0</v>
      </c>
    </row>
    <row r="29" spans="1:12" x14ac:dyDescent="0.3">
      <c r="A29" s="246" t="s">
        <v>1212</v>
      </c>
      <c r="B29" s="70" t="s">
        <v>224</v>
      </c>
      <c r="C29" s="176">
        <v>39083.89</v>
      </c>
      <c r="D29" s="176">
        <v>0</v>
      </c>
      <c r="E29" s="176">
        <v>1075093.07</v>
      </c>
      <c r="F29" s="176">
        <v>1060554.48</v>
      </c>
      <c r="G29" s="176">
        <v>171822.49</v>
      </c>
      <c r="H29" s="176">
        <v>185401.61</v>
      </c>
      <c r="I29" s="176">
        <v>1246915.56</v>
      </c>
      <c r="J29" s="176">
        <v>1245956.0900000001</v>
      </c>
      <c r="K29" s="176">
        <v>40043.360000000001</v>
      </c>
      <c r="L29" s="176">
        <v>0</v>
      </c>
    </row>
    <row r="30" spans="1:12" x14ac:dyDescent="0.3">
      <c r="A30" s="246" t="s">
        <v>390</v>
      </c>
      <c r="B30" s="70" t="s">
        <v>774</v>
      </c>
      <c r="C30" s="176">
        <v>229029.77</v>
      </c>
      <c r="D30" s="176">
        <v>0</v>
      </c>
      <c r="E30" s="176">
        <v>165761.98000000001</v>
      </c>
      <c r="F30" s="176">
        <v>372673.29</v>
      </c>
      <c r="G30" s="176">
        <v>32533.62</v>
      </c>
      <c r="H30" s="176">
        <v>22660.720000000001</v>
      </c>
      <c r="I30" s="176">
        <v>198295.6</v>
      </c>
      <c r="J30" s="176">
        <v>395334.01</v>
      </c>
      <c r="K30" s="176">
        <v>31991.360000000001</v>
      </c>
      <c r="L30" s="176">
        <v>0</v>
      </c>
    </row>
    <row r="31" spans="1:12" x14ac:dyDescent="0.3">
      <c r="A31" s="246" t="s">
        <v>818</v>
      </c>
      <c r="B31" s="70" t="s">
        <v>317</v>
      </c>
      <c r="C31" s="176">
        <v>96.28</v>
      </c>
      <c r="D31" s="176">
        <v>0</v>
      </c>
      <c r="E31" s="176">
        <v>99000.57</v>
      </c>
      <c r="F31" s="176">
        <v>98261.75</v>
      </c>
      <c r="G31" s="176">
        <v>179500.12</v>
      </c>
      <c r="H31" s="176">
        <v>178773.17</v>
      </c>
      <c r="I31" s="176">
        <v>278500.69</v>
      </c>
      <c r="J31" s="176">
        <v>277034.92</v>
      </c>
      <c r="K31" s="176">
        <v>1562.05</v>
      </c>
      <c r="L31" s="176">
        <v>0</v>
      </c>
    </row>
    <row r="32" spans="1:12" x14ac:dyDescent="0.3">
      <c r="A32" s="246" t="s">
        <v>388</v>
      </c>
      <c r="B32" s="70" t="s">
        <v>549</v>
      </c>
      <c r="C32" s="176">
        <v>0</v>
      </c>
      <c r="D32" s="176">
        <v>0</v>
      </c>
      <c r="E32" s="176">
        <v>1820871.6799999999</v>
      </c>
      <c r="F32" s="176">
        <v>1820871.6799999999</v>
      </c>
      <c r="G32" s="176">
        <v>482940.27</v>
      </c>
      <c r="H32" s="176">
        <v>482940.27</v>
      </c>
      <c r="I32" s="176">
        <v>2303811.9500000002</v>
      </c>
      <c r="J32" s="176">
        <v>2303811.9500000002</v>
      </c>
      <c r="K32" s="176">
        <v>0</v>
      </c>
      <c r="L32" s="176">
        <v>0</v>
      </c>
    </row>
    <row r="33" spans="1:12" x14ac:dyDescent="0.3">
      <c r="A33" s="246" t="s">
        <v>706</v>
      </c>
      <c r="B33" s="70" t="s">
        <v>502</v>
      </c>
      <c r="C33" s="176">
        <v>0</v>
      </c>
      <c r="D33" s="176">
        <v>0</v>
      </c>
      <c r="E33" s="176">
        <v>12511.51</v>
      </c>
      <c r="F33" s="176">
        <v>12511.51</v>
      </c>
      <c r="G33" s="176">
        <v>262</v>
      </c>
      <c r="H33" s="176">
        <v>262</v>
      </c>
      <c r="I33" s="176">
        <v>12773.51</v>
      </c>
      <c r="J33" s="176">
        <v>12773.51</v>
      </c>
      <c r="K33" s="176">
        <v>0</v>
      </c>
      <c r="L33" s="176">
        <v>0</v>
      </c>
    </row>
    <row r="34" spans="1:12" x14ac:dyDescent="0.3">
      <c r="A34" s="246" t="s">
        <v>1022</v>
      </c>
      <c r="B34" s="70" t="s">
        <v>450</v>
      </c>
      <c r="C34" s="176">
        <v>2146130.29</v>
      </c>
      <c r="D34" s="176">
        <v>0</v>
      </c>
      <c r="E34" s="176">
        <v>10703949.27</v>
      </c>
      <c r="F34" s="176">
        <v>8825200.0800000001</v>
      </c>
      <c r="G34" s="176">
        <v>676918.78</v>
      </c>
      <c r="H34" s="176">
        <v>2548344.0299999998</v>
      </c>
      <c r="I34" s="176">
        <v>11380868.050000001</v>
      </c>
      <c r="J34" s="176">
        <v>11373544.109999999</v>
      </c>
      <c r="K34" s="176">
        <v>2153454.23</v>
      </c>
      <c r="L34" s="176">
        <v>0</v>
      </c>
    </row>
    <row r="35" spans="1:12" x14ac:dyDescent="0.3">
      <c r="A35" s="246" t="s">
        <v>782</v>
      </c>
      <c r="B35" s="70" t="s">
        <v>830</v>
      </c>
      <c r="C35" s="176">
        <v>20857.03</v>
      </c>
      <c r="D35" s="176">
        <v>0</v>
      </c>
      <c r="E35" s="176">
        <v>1423886.31</v>
      </c>
      <c r="F35" s="176">
        <v>1117856.74</v>
      </c>
      <c r="G35" s="176">
        <v>25041.83</v>
      </c>
      <c r="H35" s="176">
        <v>182392.43</v>
      </c>
      <c r="I35" s="176">
        <v>1448928.14</v>
      </c>
      <c r="J35" s="176">
        <v>1300249.17</v>
      </c>
      <c r="K35" s="176">
        <v>169536</v>
      </c>
      <c r="L35" s="176">
        <v>0</v>
      </c>
    </row>
    <row r="36" spans="1:12" x14ac:dyDescent="0.3">
      <c r="A36" s="246" t="s">
        <v>1148</v>
      </c>
      <c r="B36" s="70" t="s">
        <v>566</v>
      </c>
      <c r="C36" s="176">
        <v>0</v>
      </c>
      <c r="D36" s="176">
        <v>0</v>
      </c>
      <c r="E36" s="176">
        <v>220310.23</v>
      </c>
      <c r="F36" s="176">
        <v>164703.04999999999</v>
      </c>
      <c r="G36" s="176">
        <v>74518.600000000006</v>
      </c>
      <c r="H36" s="176">
        <v>36350.85</v>
      </c>
      <c r="I36" s="176">
        <v>294828.83</v>
      </c>
      <c r="J36" s="176">
        <v>201053.9</v>
      </c>
      <c r="K36" s="176">
        <v>93774.93</v>
      </c>
      <c r="L36" s="176">
        <v>0</v>
      </c>
    </row>
    <row r="37" spans="1:12" x14ac:dyDescent="0.3">
      <c r="A37" s="246" t="s">
        <v>503</v>
      </c>
      <c r="B37" s="70" t="s">
        <v>680</v>
      </c>
      <c r="C37" s="176">
        <v>2765.84</v>
      </c>
      <c r="D37" s="176">
        <v>0</v>
      </c>
      <c r="E37" s="176">
        <v>82897.06</v>
      </c>
      <c r="F37" s="176">
        <v>76373.149999999994</v>
      </c>
      <c r="G37" s="176">
        <v>-7557.86</v>
      </c>
      <c r="H37" s="176">
        <v>187</v>
      </c>
      <c r="I37" s="176">
        <v>75339.199999999997</v>
      </c>
      <c r="J37" s="176">
        <v>76560.149999999994</v>
      </c>
      <c r="K37" s="176">
        <v>1544.89</v>
      </c>
      <c r="L37" s="176">
        <v>0</v>
      </c>
    </row>
    <row r="38" spans="1:12" x14ac:dyDescent="0.3">
      <c r="A38" s="246" t="s">
        <v>826</v>
      </c>
      <c r="B38" s="70" t="s">
        <v>747</v>
      </c>
      <c r="C38" s="176">
        <v>350</v>
      </c>
      <c r="D38" s="176">
        <v>0</v>
      </c>
      <c r="E38" s="176">
        <v>150</v>
      </c>
      <c r="F38" s="162">
        <v>0</v>
      </c>
      <c r="G38" s="162">
        <v>0</v>
      </c>
      <c r="H38" s="162">
        <v>0</v>
      </c>
      <c r="I38" s="176">
        <v>150</v>
      </c>
      <c r="J38" s="162">
        <v>0</v>
      </c>
      <c r="K38" s="176">
        <v>500</v>
      </c>
      <c r="L38" s="176">
        <v>0</v>
      </c>
    </row>
    <row r="39" spans="1:12" x14ac:dyDescent="0.3">
      <c r="A39" s="246" t="s">
        <v>439</v>
      </c>
      <c r="B39" s="70" t="s">
        <v>479</v>
      </c>
      <c r="C39" s="176">
        <v>513.95000000000005</v>
      </c>
      <c r="D39" s="176">
        <v>0</v>
      </c>
      <c r="E39" s="176">
        <v>7541.69</v>
      </c>
      <c r="F39" s="176">
        <v>7223.6</v>
      </c>
      <c r="G39" s="176">
        <v>416.67</v>
      </c>
      <c r="H39" s="176">
        <v>358.66</v>
      </c>
      <c r="I39" s="176">
        <v>7958.36</v>
      </c>
      <c r="J39" s="176">
        <v>7582.26</v>
      </c>
      <c r="K39" s="176">
        <v>890.05</v>
      </c>
      <c r="L39" s="176">
        <v>0</v>
      </c>
    </row>
    <row r="40" spans="1:12" x14ac:dyDescent="0.3">
      <c r="A40" s="246" t="s">
        <v>629</v>
      </c>
      <c r="B40" s="70" t="s">
        <v>678</v>
      </c>
      <c r="C40" s="176">
        <v>329.34</v>
      </c>
      <c r="D40" s="176">
        <v>0</v>
      </c>
      <c r="E40" s="176">
        <v>2333.33</v>
      </c>
      <c r="F40" s="176">
        <v>1975.5</v>
      </c>
      <c r="G40" s="162">
        <v>0</v>
      </c>
      <c r="H40" s="176">
        <v>100.8</v>
      </c>
      <c r="I40" s="176">
        <v>2333.33</v>
      </c>
      <c r="J40" s="176">
        <v>2076.3000000000002</v>
      </c>
      <c r="K40" s="176">
        <v>586.37</v>
      </c>
      <c r="L40" s="176">
        <v>0</v>
      </c>
    </row>
    <row r="41" spans="1:12" x14ac:dyDescent="0.3">
      <c r="A41" s="246" t="s">
        <v>394</v>
      </c>
      <c r="B41" s="70" t="s">
        <v>962</v>
      </c>
      <c r="C41" s="176">
        <v>83.8</v>
      </c>
      <c r="D41" s="176">
        <v>0</v>
      </c>
      <c r="E41" s="176">
        <v>1041.67</v>
      </c>
      <c r="F41" s="176">
        <v>987.09</v>
      </c>
      <c r="G41" s="162">
        <v>0</v>
      </c>
      <c r="H41" s="176">
        <v>11.8</v>
      </c>
      <c r="I41" s="176">
        <v>1041.67</v>
      </c>
      <c r="J41" s="176">
        <v>998.89</v>
      </c>
      <c r="K41" s="176">
        <v>126.58</v>
      </c>
      <c r="L41" s="176">
        <v>0</v>
      </c>
    </row>
    <row r="42" spans="1:12" x14ac:dyDescent="0.3">
      <c r="A42" s="246" t="s">
        <v>459</v>
      </c>
      <c r="B42" s="70" t="s">
        <v>296</v>
      </c>
      <c r="C42" s="176">
        <v>37.909999999999997</v>
      </c>
      <c r="D42" s="176">
        <v>0</v>
      </c>
      <c r="E42" s="176">
        <v>41.67</v>
      </c>
      <c r="F42" s="176">
        <v>1.69</v>
      </c>
      <c r="G42" s="162">
        <v>0</v>
      </c>
      <c r="H42" s="162">
        <v>0</v>
      </c>
      <c r="I42" s="176">
        <v>41.67</v>
      </c>
      <c r="J42" s="176">
        <v>1.69</v>
      </c>
      <c r="K42" s="176">
        <v>77.89</v>
      </c>
      <c r="L42" s="176">
        <v>0</v>
      </c>
    </row>
    <row r="43" spans="1:12" x14ac:dyDescent="0.3">
      <c r="A43" s="246" t="s">
        <v>1067</v>
      </c>
      <c r="B43" s="70" t="s">
        <v>570</v>
      </c>
      <c r="C43" s="176">
        <v>111.98</v>
      </c>
      <c r="D43" s="176">
        <v>0</v>
      </c>
      <c r="E43" s="176">
        <v>83.34</v>
      </c>
      <c r="F43" s="176">
        <v>160.81</v>
      </c>
      <c r="G43" s="162">
        <v>0</v>
      </c>
      <c r="H43" s="162">
        <v>0</v>
      </c>
      <c r="I43" s="176">
        <v>83.34</v>
      </c>
      <c r="J43" s="176">
        <v>160.81</v>
      </c>
      <c r="K43" s="176">
        <v>34.51</v>
      </c>
      <c r="L43" s="176">
        <v>0</v>
      </c>
    </row>
    <row r="44" spans="1:12" x14ac:dyDescent="0.3">
      <c r="A44" s="246" t="s">
        <v>844</v>
      </c>
      <c r="B44" s="70" t="s">
        <v>25</v>
      </c>
      <c r="C44" s="176">
        <v>139.66</v>
      </c>
      <c r="D44" s="176">
        <v>0</v>
      </c>
      <c r="E44" s="162">
        <v>0</v>
      </c>
      <c r="F44" s="176">
        <v>76.489999999999995</v>
      </c>
      <c r="G44" s="162">
        <v>0</v>
      </c>
      <c r="H44" s="162">
        <v>0</v>
      </c>
      <c r="I44" s="162">
        <v>0</v>
      </c>
      <c r="J44" s="176">
        <v>76.489999999999995</v>
      </c>
      <c r="K44" s="176">
        <v>63.17</v>
      </c>
      <c r="L44" s="176">
        <v>0</v>
      </c>
    </row>
    <row r="45" spans="1:12" x14ac:dyDescent="0.3">
      <c r="A45" s="246" t="s">
        <v>926</v>
      </c>
      <c r="B45" s="70" t="s">
        <v>1068</v>
      </c>
      <c r="C45" s="176">
        <v>0</v>
      </c>
      <c r="D45" s="176">
        <v>0</v>
      </c>
      <c r="E45" s="176">
        <v>2.61</v>
      </c>
      <c r="F45" s="176">
        <v>2.61</v>
      </c>
      <c r="G45" s="162">
        <v>0</v>
      </c>
      <c r="H45" s="162">
        <v>0</v>
      </c>
      <c r="I45" s="176">
        <v>2.61</v>
      </c>
      <c r="J45" s="176">
        <v>2.61</v>
      </c>
      <c r="K45" s="176">
        <v>0</v>
      </c>
      <c r="L45" s="176">
        <v>0</v>
      </c>
    </row>
    <row r="46" spans="1:12" x14ac:dyDescent="0.3">
      <c r="A46" s="246" t="s">
        <v>957</v>
      </c>
      <c r="B46" s="70" t="s">
        <v>342</v>
      </c>
      <c r="C46" s="176">
        <v>156.88</v>
      </c>
      <c r="D46" s="176">
        <v>0</v>
      </c>
      <c r="E46" s="176">
        <v>8427.75</v>
      </c>
      <c r="F46" s="176">
        <v>8359.56</v>
      </c>
      <c r="G46" s="176">
        <v>916.67</v>
      </c>
      <c r="H46" s="176">
        <v>759.59</v>
      </c>
      <c r="I46" s="176">
        <v>9344.42</v>
      </c>
      <c r="J46" s="176">
        <v>9119.15</v>
      </c>
      <c r="K46" s="176">
        <v>382.15</v>
      </c>
      <c r="L46" s="176">
        <v>0</v>
      </c>
    </row>
    <row r="47" spans="1:12" x14ac:dyDescent="0.3">
      <c r="A47" s="246" t="s">
        <v>931</v>
      </c>
      <c r="B47" s="70" t="s">
        <v>273</v>
      </c>
      <c r="C47" s="176">
        <v>0</v>
      </c>
      <c r="D47" s="176">
        <v>0</v>
      </c>
      <c r="E47" s="176">
        <v>0.31</v>
      </c>
      <c r="F47" s="162">
        <v>0</v>
      </c>
      <c r="G47" s="162">
        <v>0</v>
      </c>
      <c r="H47" s="176">
        <v>0.31</v>
      </c>
      <c r="I47" s="176">
        <v>0.31</v>
      </c>
      <c r="J47" s="176">
        <v>0.31</v>
      </c>
      <c r="K47" s="176">
        <v>0</v>
      </c>
      <c r="L47" s="176">
        <v>0</v>
      </c>
    </row>
    <row r="48" spans="1:12" x14ac:dyDescent="0.3">
      <c r="A48" s="246" t="s">
        <v>0</v>
      </c>
      <c r="B48" s="70" t="s">
        <v>1028</v>
      </c>
      <c r="C48" s="176">
        <v>0</v>
      </c>
      <c r="D48" s="176">
        <v>0</v>
      </c>
      <c r="E48" s="176">
        <v>125</v>
      </c>
      <c r="F48" s="176">
        <v>22.84</v>
      </c>
      <c r="G48" s="176">
        <v>-102.16</v>
      </c>
      <c r="H48" s="162">
        <v>0</v>
      </c>
      <c r="I48" s="176">
        <v>22.84</v>
      </c>
      <c r="J48" s="176">
        <v>22.84</v>
      </c>
      <c r="K48" s="176">
        <v>0</v>
      </c>
      <c r="L48" s="176">
        <v>0</v>
      </c>
    </row>
    <row r="49" spans="1:12" x14ac:dyDescent="0.3">
      <c r="A49" s="246" t="s">
        <v>1007</v>
      </c>
      <c r="B49" s="70" t="s">
        <v>248</v>
      </c>
      <c r="C49" s="176">
        <v>0</v>
      </c>
      <c r="D49" s="176">
        <v>0</v>
      </c>
      <c r="E49" s="176">
        <v>375.01</v>
      </c>
      <c r="F49" s="176">
        <v>30.35</v>
      </c>
      <c r="G49" s="176">
        <v>83.33</v>
      </c>
      <c r="H49" s="176">
        <v>11.07</v>
      </c>
      <c r="I49" s="176">
        <v>458.34</v>
      </c>
      <c r="J49" s="176">
        <v>41.42</v>
      </c>
      <c r="K49" s="176">
        <v>416.92</v>
      </c>
      <c r="L49" s="176">
        <v>0</v>
      </c>
    </row>
    <row r="50" spans="1:12" x14ac:dyDescent="0.3">
      <c r="A50" s="246" t="s">
        <v>1206</v>
      </c>
      <c r="B50" s="70" t="s">
        <v>906</v>
      </c>
      <c r="C50" s="176">
        <v>0</v>
      </c>
      <c r="D50" s="176">
        <v>0</v>
      </c>
      <c r="E50" s="176">
        <v>3.67</v>
      </c>
      <c r="F50" s="176">
        <v>3.66</v>
      </c>
      <c r="G50" s="162">
        <v>0</v>
      </c>
      <c r="H50" s="176">
        <v>0.01</v>
      </c>
      <c r="I50" s="176">
        <v>3.67</v>
      </c>
      <c r="J50" s="176">
        <v>3.67</v>
      </c>
      <c r="K50" s="176">
        <v>0</v>
      </c>
      <c r="L50" s="176">
        <v>0</v>
      </c>
    </row>
    <row r="51" spans="1:12" x14ac:dyDescent="0.3">
      <c r="A51" s="246" t="s">
        <v>1180</v>
      </c>
      <c r="B51" s="70" t="s">
        <v>667</v>
      </c>
      <c r="C51" s="176">
        <v>0</v>
      </c>
      <c r="D51" s="176">
        <v>0</v>
      </c>
      <c r="E51" s="176">
        <v>41.67</v>
      </c>
      <c r="F51" s="176">
        <v>4.01</v>
      </c>
      <c r="G51" s="162">
        <v>0</v>
      </c>
      <c r="H51" s="162">
        <v>0</v>
      </c>
      <c r="I51" s="176">
        <v>41.67</v>
      </c>
      <c r="J51" s="176">
        <v>4.01</v>
      </c>
      <c r="K51" s="176">
        <v>37.659999999999997</v>
      </c>
      <c r="L51" s="176">
        <v>0</v>
      </c>
    </row>
    <row r="52" spans="1:12" x14ac:dyDescent="0.3">
      <c r="A52" s="246" t="s">
        <v>512</v>
      </c>
      <c r="B52" s="70" t="s">
        <v>355</v>
      </c>
      <c r="C52" s="176">
        <v>0</v>
      </c>
      <c r="D52" s="176">
        <v>0</v>
      </c>
      <c r="E52" s="176">
        <v>5060.1899999999996</v>
      </c>
      <c r="F52" s="176">
        <v>5560.69</v>
      </c>
      <c r="G52" s="176">
        <v>968</v>
      </c>
      <c r="H52" s="176">
        <v>467.5</v>
      </c>
      <c r="I52" s="176">
        <v>6028.19</v>
      </c>
      <c r="J52" s="176">
        <v>6028.19</v>
      </c>
      <c r="K52" s="176">
        <v>0</v>
      </c>
      <c r="L52" s="176">
        <v>0</v>
      </c>
    </row>
    <row r="53" spans="1:12" x14ac:dyDescent="0.3">
      <c r="A53" s="246" t="s">
        <v>1200</v>
      </c>
      <c r="B53" s="70" t="s">
        <v>900</v>
      </c>
      <c r="C53" s="176">
        <v>0</v>
      </c>
      <c r="D53" s="176">
        <v>0</v>
      </c>
      <c r="E53" s="176">
        <v>50407.82</v>
      </c>
      <c r="F53" s="176">
        <v>50648.1</v>
      </c>
      <c r="G53" s="176">
        <v>4717.1000000000004</v>
      </c>
      <c r="H53" s="176">
        <v>4476.82</v>
      </c>
      <c r="I53" s="176">
        <v>55124.92</v>
      </c>
      <c r="J53" s="176">
        <v>55124.92</v>
      </c>
      <c r="K53" s="176">
        <v>0</v>
      </c>
      <c r="L53" s="176">
        <v>0</v>
      </c>
    </row>
    <row r="54" spans="1:12" x14ac:dyDescent="0.3">
      <c r="A54" s="246" t="s">
        <v>1125</v>
      </c>
      <c r="B54" s="70" t="s">
        <v>480</v>
      </c>
      <c r="C54" s="176">
        <v>0</v>
      </c>
      <c r="D54" s="176">
        <v>0</v>
      </c>
      <c r="E54" s="176">
        <v>10830.83</v>
      </c>
      <c r="F54" s="176">
        <v>10928.93</v>
      </c>
      <c r="G54" s="176">
        <v>1965.98</v>
      </c>
      <c r="H54" s="176">
        <v>1867.88</v>
      </c>
      <c r="I54" s="176">
        <v>12796.81</v>
      </c>
      <c r="J54" s="176">
        <v>12796.81</v>
      </c>
      <c r="K54" s="176">
        <v>0</v>
      </c>
      <c r="L54" s="176">
        <v>0</v>
      </c>
    </row>
    <row r="55" spans="1:12" x14ac:dyDescent="0.3">
      <c r="A55" s="246" t="s">
        <v>1256</v>
      </c>
      <c r="B55" s="70" t="s">
        <v>804</v>
      </c>
      <c r="C55" s="176">
        <v>0</v>
      </c>
      <c r="D55" s="176">
        <v>1174538.07</v>
      </c>
      <c r="E55" s="176">
        <v>8545789.0500000007</v>
      </c>
      <c r="F55" s="176">
        <v>10012994.970000001</v>
      </c>
      <c r="G55" s="176">
        <v>1359964.63</v>
      </c>
      <c r="H55" s="176">
        <v>1750403.04</v>
      </c>
      <c r="I55" s="176">
        <v>9905753.6799999997</v>
      </c>
      <c r="J55" s="176">
        <v>11763398.01</v>
      </c>
      <c r="K55" s="176">
        <v>0</v>
      </c>
      <c r="L55" s="176">
        <v>3032182.4</v>
      </c>
    </row>
    <row r="56" spans="1:12" x14ac:dyDescent="0.3">
      <c r="A56" s="246" t="s">
        <v>766</v>
      </c>
      <c r="B56" s="70" t="s">
        <v>525</v>
      </c>
      <c r="C56" s="176">
        <v>7.0000000000000007E-2</v>
      </c>
      <c r="D56" s="176">
        <v>0</v>
      </c>
      <c r="E56" s="176">
        <v>79313.59</v>
      </c>
      <c r="F56" s="176">
        <v>80997.97</v>
      </c>
      <c r="G56" s="176">
        <v>1436.16</v>
      </c>
      <c r="H56" s="176">
        <v>200986.7</v>
      </c>
      <c r="I56" s="176">
        <v>80749.75</v>
      </c>
      <c r="J56" s="176">
        <v>281984.67</v>
      </c>
      <c r="K56" s="176">
        <v>0</v>
      </c>
      <c r="L56" s="176">
        <v>201234.85</v>
      </c>
    </row>
    <row r="57" spans="1:12" x14ac:dyDescent="0.3">
      <c r="A57" s="246" t="s">
        <v>1234</v>
      </c>
      <c r="B57" s="70" t="s">
        <v>525</v>
      </c>
      <c r="C57" s="176">
        <v>0</v>
      </c>
      <c r="D57" s="176">
        <v>98089.06</v>
      </c>
      <c r="E57" s="176">
        <v>1076227.33</v>
      </c>
      <c r="F57" s="176">
        <v>1090723.53</v>
      </c>
      <c r="G57" s="176">
        <v>37547.339999999997</v>
      </c>
      <c r="H57" s="176">
        <v>104811.82</v>
      </c>
      <c r="I57" s="176">
        <v>1113774.67</v>
      </c>
      <c r="J57" s="176">
        <v>1195535.3500000001</v>
      </c>
      <c r="K57" s="176">
        <v>0</v>
      </c>
      <c r="L57" s="176">
        <v>179849.74</v>
      </c>
    </row>
    <row r="58" spans="1:12" x14ac:dyDescent="0.3">
      <c r="A58" s="246" t="s">
        <v>674</v>
      </c>
      <c r="B58" s="70" t="s">
        <v>1006</v>
      </c>
      <c r="C58" s="176">
        <v>0</v>
      </c>
      <c r="D58" s="176">
        <v>0</v>
      </c>
      <c r="E58" s="176">
        <v>13802.33</v>
      </c>
      <c r="F58" s="176">
        <v>31453.78</v>
      </c>
      <c r="G58" s="176">
        <v>19389.71</v>
      </c>
      <c r="H58" s="176">
        <v>42627.83</v>
      </c>
      <c r="I58" s="176">
        <v>33192.04</v>
      </c>
      <c r="J58" s="176">
        <v>74081.61</v>
      </c>
      <c r="K58" s="176">
        <v>0</v>
      </c>
      <c r="L58" s="176">
        <v>40889.57</v>
      </c>
    </row>
    <row r="59" spans="1:12" x14ac:dyDescent="0.3">
      <c r="A59" s="246" t="s">
        <v>367</v>
      </c>
      <c r="B59" s="70" t="s">
        <v>836</v>
      </c>
      <c r="C59" s="176">
        <v>0</v>
      </c>
      <c r="D59" s="176">
        <v>0</v>
      </c>
      <c r="E59" s="176">
        <v>98.04</v>
      </c>
      <c r="F59" s="162">
        <v>0</v>
      </c>
      <c r="G59" s="176">
        <v>31.08</v>
      </c>
      <c r="H59" s="176">
        <v>991.13</v>
      </c>
      <c r="I59" s="176">
        <v>129.12</v>
      </c>
      <c r="J59" s="176">
        <v>991.13</v>
      </c>
      <c r="K59" s="176">
        <v>0</v>
      </c>
      <c r="L59" s="176">
        <v>862.01</v>
      </c>
    </row>
    <row r="60" spans="1:12" x14ac:dyDescent="0.3">
      <c r="A60" s="246" t="s">
        <v>1102</v>
      </c>
      <c r="B60" s="70" t="s">
        <v>1137</v>
      </c>
      <c r="C60" s="176">
        <v>0</v>
      </c>
      <c r="D60" s="176">
        <v>33238.410000000003</v>
      </c>
      <c r="E60" s="176">
        <v>28938.41</v>
      </c>
      <c r="F60" s="162">
        <v>0</v>
      </c>
      <c r="G60" s="176">
        <v>4300</v>
      </c>
      <c r="H60" s="176">
        <v>49422.09</v>
      </c>
      <c r="I60" s="176">
        <v>33238.410000000003</v>
      </c>
      <c r="J60" s="176">
        <v>49422.09</v>
      </c>
      <c r="K60" s="176">
        <v>0</v>
      </c>
      <c r="L60" s="176">
        <v>49422.09</v>
      </c>
    </row>
    <row r="61" spans="1:12" x14ac:dyDescent="0.3">
      <c r="A61" s="246" t="s">
        <v>733</v>
      </c>
      <c r="B61" s="70" t="s">
        <v>784</v>
      </c>
      <c r="C61" s="176">
        <v>0</v>
      </c>
      <c r="D61" s="176">
        <v>0</v>
      </c>
      <c r="E61" s="162">
        <v>0</v>
      </c>
      <c r="F61" s="162">
        <v>0</v>
      </c>
      <c r="G61" s="176">
        <v>10748.28</v>
      </c>
      <c r="H61" s="176">
        <v>169.63</v>
      </c>
      <c r="I61" s="176">
        <v>10748.28</v>
      </c>
      <c r="J61" s="176">
        <v>169.63</v>
      </c>
      <c r="K61" s="176">
        <v>10578.65</v>
      </c>
      <c r="L61" s="176">
        <v>0</v>
      </c>
    </row>
    <row r="62" spans="1:12" x14ac:dyDescent="0.3">
      <c r="A62" s="246" t="s">
        <v>65</v>
      </c>
      <c r="B62" s="70" t="s">
        <v>249</v>
      </c>
      <c r="C62" s="176">
        <v>0</v>
      </c>
      <c r="D62" s="176">
        <v>39857.96</v>
      </c>
      <c r="E62" s="176">
        <v>564881.24</v>
      </c>
      <c r="F62" s="176">
        <v>565897.15</v>
      </c>
      <c r="G62" s="176">
        <v>55749.599999999999</v>
      </c>
      <c r="H62" s="176">
        <v>61589.09</v>
      </c>
      <c r="I62" s="176">
        <v>620630.84</v>
      </c>
      <c r="J62" s="176">
        <v>627486.24</v>
      </c>
      <c r="K62" s="176">
        <v>0</v>
      </c>
      <c r="L62" s="176">
        <v>46713.36</v>
      </c>
    </row>
    <row r="63" spans="1:12" x14ac:dyDescent="0.3">
      <c r="A63" s="246" t="s">
        <v>61</v>
      </c>
      <c r="B63" s="70" t="s">
        <v>1215</v>
      </c>
      <c r="C63" s="176">
        <v>0</v>
      </c>
      <c r="D63" s="176">
        <v>16406.34</v>
      </c>
      <c r="E63" s="176">
        <v>187101</v>
      </c>
      <c r="F63" s="176">
        <v>189002.41</v>
      </c>
      <c r="G63" s="176">
        <v>18307.75</v>
      </c>
      <c r="H63" s="176">
        <v>20915.93</v>
      </c>
      <c r="I63" s="176">
        <v>205408.75</v>
      </c>
      <c r="J63" s="176">
        <v>209918.34</v>
      </c>
      <c r="K63" s="176">
        <v>0</v>
      </c>
      <c r="L63" s="176">
        <v>20915.93</v>
      </c>
    </row>
    <row r="64" spans="1:12" x14ac:dyDescent="0.3">
      <c r="A64" s="246" t="s">
        <v>567</v>
      </c>
      <c r="B64" s="70" t="s">
        <v>207</v>
      </c>
      <c r="C64" s="176">
        <v>0</v>
      </c>
      <c r="D64" s="176">
        <v>5374.09</v>
      </c>
      <c r="E64" s="176">
        <v>63533.09</v>
      </c>
      <c r="F64" s="176">
        <v>64336.51</v>
      </c>
      <c r="G64" s="176">
        <v>6177.51</v>
      </c>
      <c r="H64" s="176">
        <v>6914.8</v>
      </c>
      <c r="I64" s="176">
        <v>69710.600000000006</v>
      </c>
      <c r="J64" s="176">
        <v>71251.31</v>
      </c>
      <c r="K64" s="176">
        <v>0</v>
      </c>
      <c r="L64" s="176">
        <v>6914.8</v>
      </c>
    </row>
    <row r="65" spans="1:12" x14ac:dyDescent="0.3">
      <c r="A65" s="246" t="s">
        <v>1289</v>
      </c>
      <c r="B65" s="70" t="s">
        <v>160</v>
      </c>
      <c r="C65" s="176">
        <v>0</v>
      </c>
      <c r="D65" s="176">
        <v>1261.44</v>
      </c>
      <c r="E65" s="176">
        <v>10449.07</v>
      </c>
      <c r="F65" s="176">
        <v>10181.15</v>
      </c>
      <c r="G65" s="176">
        <v>993.52</v>
      </c>
      <c r="H65" s="176">
        <v>1265.69</v>
      </c>
      <c r="I65" s="176">
        <v>11442.59</v>
      </c>
      <c r="J65" s="176">
        <v>11446.84</v>
      </c>
      <c r="K65" s="176">
        <v>0</v>
      </c>
      <c r="L65" s="176">
        <v>1265.69</v>
      </c>
    </row>
    <row r="66" spans="1:12" x14ac:dyDescent="0.3">
      <c r="A66" s="246" t="s">
        <v>851</v>
      </c>
      <c r="B66" s="70" t="s">
        <v>161</v>
      </c>
      <c r="C66" s="176">
        <v>0</v>
      </c>
      <c r="D66" s="176">
        <v>0</v>
      </c>
      <c r="E66" s="162">
        <v>0</v>
      </c>
      <c r="F66" s="162">
        <v>0</v>
      </c>
      <c r="G66" s="162">
        <v>0</v>
      </c>
      <c r="H66" s="176">
        <v>106.45</v>
      </c>
      <c r="I66" s="162">
        <v>0</v>
      </c>
      <c r="J66" s="176">
        <v>106.45</v>
      </c>
      <c r="K66" s="176">
        <v>0</v>
      </c>
      <c r="L66" s="176">
        <v>106.45</v>
      </c>
    </row>
    <row r="67" spans="1:12" x14ac:dyDescent="0.3">
      <c r="A67" s="246" t="s">
        <v>794</v>
      </c>
      <c r="B67" s="70" t="s">
        <v>335</v>
      </c>
      <c r="C67" s="176">
        <v>30191.91</v>
      </c>
      <c r="D67" s="176">
        <v>0</v>
      </c>
      <c r="E67" s="162">
        <v>0</v>
      </c>
      <c r="F67" s="176">
        <v>29950.97</v>
      </c>
      <c r="G67" s="162">
        <v>0</v>
      </c>
      <c r="H67" s="176">
        <v>0</v>
      </c>
      <c r="I67" s="162">
        <v>0</v>
      </c>
      <c r="J67" s="176">
        <v>29950.97</v>
      </c>
      <c r="K67" s="176">
        <v>240.94</v>
      </c>
      <c r="L67" s="176">
        <v>0</v>
      </c>
    </row>
    <row r="68" spans="1:12" x14ac:dyDescent="0.3">
      <c r="A68" s="246" t="s">
        <v>375</v>
      </c>
      <c r="B68" s="70" t="s">
        <v>291</v>
      </c>
      <c r="C68" s="176">
        <v>0</v>
      </c>
      <c r="D68" s="176">
        <v>0</v>
      </c>
      <c r="E68" s="176">
        <v>13131.13</v>
      </c>
      <c r="F68" s="176">
        <v>0</v>
      </c>
      <c r="G68" s="176">
        <v>1234.93</v>
      </c>
      <c r="H68" s="176">
        <v>13043.83</v>
      </c>
      <c r="I68" s="176">
        <v>14366.06</v>
      </c>
      <c r="J68" s="176">
        <v>13043.83</v>
      </c>
      <c r="K68" s="176">
        <v>1322.23</v>
      </c>
      <c r="L68" s="176">
        <v>0</v>
      </c>
    </row>
    <row r="69" spans="1:12" x14ac:dyDescent="0.3">
      <c r="A69" s="246" t="s">
        <v>416</v>
      </c>
      <c r="B69" s="70" t="s">
        <v>952</v>
      </c>
      <c r="C69" s="176">
        <v>0</v>
      </c>
      <c r="D69" s="176">
        <v>410.17</v>
      </c>
      <c r="E69" s="176">
        <v>50846.55</v>
      </c>
      <c r="F69" s="176">
        <v>49357.9</v>
      </c>
      <c r="G69" s="176">
        <v>1691.33</v>
      </c>
      <c r="H69" s="176">
        <v>6209.05</v>
      </c>
      <c r="I69" s="176">
        <v>52537.88</v>
      </c>
      <c r="J69" s="176">
        <v>55566.95</v>
      </c>
      <c r="K69" s="176">
        <v>0</v>
      </c>
      <c r="L69" s="176">
        <v>3439.24</v>
      </c>
    </row>
    <row r="70" spans="1:12" x14ac:dyDescent="0.3">
      <c r="A70" s="246" t="s">
        <v>1243</v>
      </c>
      <c r="B70" s="70" t="s">
        <v>494</v>
      </c>
      <c r="C70" s="176">
        <v>20367.919999999998</v>
      </c>
      <c r="D70" s="176">
        <v>0</v>
      </c>
      <c r="E70" s="176">
        <v>208811.06</v>
      </c>
      <c r="F70" s="176">
        <v>32211.67</v>
      </c>
      <c r="G70" s="162">
        <v>0</v>
      </c>
      <c r="H70" s="162">
        <v>0</v>
      </c>
      <c r="I70" s="176">
        <v>208811.06</v>
      </c>
      <c r="J70" s="176">
        <v>32211.67</v>
      </c>
      <c r="K70" s="176">
        <v>196967.31</v>
      </c>
      <c r="L70" s="176">
        <v>0</v>
      </c>
    </row>
    <row r="71" spans="1:12" x14ac:dyDescent="0.3">
      <c r="A71" s="246" t="s">
        <v>371</v>
      </c>
      <c r="B71" s="70" t="s">
        <v>332</v>
      </c>
      <c r="C71" s="176">
        <v>0</v>
      </c>
      <c r="D71" s="176">
        <v>0</v>
      </c>
      <c r="E71" s="176">
        <v>6.27</v>
      </c>
      <c r="F71" s="162">
        <v>0</v>
      </c>
      <c r="G71" s="176">
        <v>2.38</v>
      </c>
      <c r="H71" s="162">
        <v>0</v>
      </c>
      <c r="I71" s="176">
        <v>8.65</v>
      </c>
      <c r="J71" s="162">
        <v>0</v>
      </c>
      <c r="K71" s="176">
        <v>8.65</v>
      </c>
      <c r="L71" s="176">
        <v>0</v>
      </c>
    </row>
    <row r="72" spans="1:12" x14ac:dyDescent="0.3">
      <c r="A72" s="246" t="s">
        <v>883</v>
      </c>
      <c r="B72" s="70" t="s">
        <v>279</v>
      </c>
      <c r="C72" s="176">
        <v>0</v>
      </c>
      <c r="D72" s="176">
        <v>0</v>
      </c>
      <c r="E72" s="176">
        <v>872913.67</v>
      </c>
      <c r="F72" s="162">
        <v>0</v>
      </c>
      <c r="G72" s="176">
        <v>196597.92</v>
      </c>
      <c r="H72" s="162">
        <v>0</v>
      </c>
      <c r="I72" s="176">
        <v>1069511.5900000001</v>
      </c>
      <c r="J72" s="162">
        <v>0</v>
      </c>
      <c r="K72" s="176">
        <v>1069511.5900000001</v>
      </c>
      <c r="L72" s="176">
        <v>0</v>
      </c>
    </row>
    <row r="73" spans="1:12" x14ac:dyDescent="0.3">
      <c r="A73" s="246" t="s">
        <v>488</v>
      </c>
      <c r="B73" s="70" t="s">
        <v>85</v>
      </c>
      <c r="C73" s="176">
        <v>0</v>
      </c>
      <c r="D73" s="176">
        <v>0</v>
      </c>
      <c r="E73" s="176">
        <v>208209.61</v>
      </c>
      <c r="F73" s="162">
        <v>0</v>
      </c>
      <c r="G73" s="176">
        <v>13725.65</v>
      </c>
      <c r="H73" s="162">
        <v>0</v>
      </c>
      <c r="I73" s="176">
        <v>221935.26</v>
      </c>
      <c r="J73" s="162">
        <v>0</v>
      </c>
      <c r="K73" s="176">
        <v>221935.26</v>
      </c>
      <c r="L73" s="176">
        <v>0</v>
      </c>
    </row>
    <row r="74" spans="1:12" x14ac:dyDescent="0.3">
      <c r="A74" s="246" t="s">
        <v>801</v>
      </c>
      <c r="B74" s="70" t="s">
        <v>186</v>
      </c>
      <c r="C74" s="176">
        <v>0</v>
      </c>
      <c r="D74" s="176">
        <v>0</v>
      </c>
      <c r="E74" s="176">
        <v>26402.45</v>
      </c>
      <c r="F74" s="162">
        <v>0</v>
      </c>
      <c r="G74" s="176">
        <v>13081.96</v>
      </c>
      <c r="H74" s="162">
        <v>0</v>
      </c>
      <c r="I74" s="176">
        <v>39484.410000000003</v>
      </c>
      <c r="J74" s="162">
        <v>0</v>
      </c>
      <c r="K74" s="176">
        <v>39484.410000000003</v>
      </c>
      <c r="L74" s="176">
        <v>0</v>
      </c>
    </row>
    <row r="75" spans="1:12" x14ac:dyDescent="0.3">
      <c r="A75" s="246" t="s">
        <v>5</v>
      </c>
      <c r="B75" s="70" t="s">
        <v>988</v>
      </c>
      <c r="C75" s="176">
        <v>0</v>
      </c>
      <c r="D75" s="176">
        <v>0</v>
      </c>
      <c r="E75" s="176">
        <v>669507.15</v>
      </c>
      <c r="F75" s="162">
        <v>0</v>
      </c>
      <c r="G75" s="176">
        <v>45671.360000000001</v>
      </c>
      <c r="H75" s="162">
        <v>0</v>
      </c>
      <c r="I75" s="176">
        <v>715178.51</v>
      </c>
      <c r="J75" s="162">
        <v>0</v>
      </c>
      <c r="K75" s="176">
        <v>715178.51</v>
      </c>
      <c r="L75" s="176">
        <v>0</v>
      </c>
    </row>
    <row r="76" spans="1:12" x14ac:dyDescent="0.3">
      <c r="A76" s="246" t="s">
        <v>1138</v>
      </c>
      <c r="B76" s="70" t="s">
        <v>1201</v>
      </c>
      <c r="C76" s="176">
        <v>0</v>
      </c>
      <c r="D76" s="176">
        <v>0</v>
      </c>
      <c r="E76" s="162">
        <v>0</v>
      </c>
      <c r="F76" s="176">
        <v>1002385.98</v>
      </c>
      <c r="G76" s="162">
        <v>0</v>
      </c>
      <c r="H76" s="176">
        <v>178659.24</v>
      </c>
      <c r="I76" s="162">
        <v>0</v>
      </c>
      <c r="J76" s="176">
        <v>1181045.22</v>
      </c>
      <c r="K76" s="176">
        <v>0</v>
      </c>
      <c r="L76" s="176">
        <v>1181045.22</v>
      </c>
    </row>
    <row r="77" spans="1:12" x14ac:dyDescent="0.3">
      <c r="A77" s="246" t="s">
        <v>387</v>
      </c>
      <c r="B77" s="70" t="s">
        <v>264</v>
      </c>
      <c r="C77" s="176">
        <v>0</v>
      </c>
      <c r="D77" s="176">
        <v>0</v>
      </c>
      <c r="E77" s="162">
        <v>0</v>
      </c>
      <c r="F77" s="176">
        <v>208209.61</v>
      </c>
      <c r="G77" s="162">
        <v>0</v>
      </c>
      <c r="H77" s="176">
        <v>13725.65</v>
      </c>
      <c r="I77" s="162">
        <v>0</v>
      </c>
      <c r="J77" s="176">
        <v>221935.26</v>
      </c>
      <c r="K77" s="176">
        <v>0</v>
      </c>
      <c r="L77" s="176">
        <v>221935.26</v>
      </c>
    </row>
    <row r="78" spans="1:12" x14ac:dyDescent="0.3">
      <c r="A78" s="246" t="s">
        <v>312</v>
      </c>
      <c r="B78" s="70" t="s">
        <v>1093</v>
      </c>
      <c r="C78" s="176">
        <v>0</v>
      </c>
      <c r="D78" s="176">
        <v>0</v>
      </c>
      <c r="E78" s="162">
        <v>0</v>
      </c>
      <c r="F78" s="176">
        <v>26402.45</v>
      </c>
      <c r="G78" s="162">
        <v>0</v>
      </c>
      <c r="H78" s="176">
        <v>13081.96</v>
      </c>
      <c r="I78" s="162">
        <v>0</v>
      </c>
      <c r="J78" s="176">
        <v>39484.410000000003</v>
      </c>
      <c r="K78" s="176">
        <v>0</v>
      </c>
      <c r="L78" s="176">
        <v>39484.410000000003</v>
      </c>
    </row>
    <row r="79" spans="1:12" x14ac:dyDescent="0.3">
      <c r="A79" s="246" t="s">
        <v>974</v>
      </c>
      <c r="B79" s="70" t="s">
        <v>632</v>
      </c>
      <c r="C79" s="176">
        <v>0</v>
      </c>
      <c r="D79" s="176">
        <v>0</v>
      </c>
      <c r="E79" s="162">
        <v>0</v>
      </c>
      <c r="F79" s="176">
        <v>669507.15</v>
      </c>
      <c r="G79" s="162">
        <v>0</v>
      </c>
      <c r="H79" s="176">
        <v>45671.360000000001</v>
      </c>
      <c r="I79" s="162">
        <v>0</v>
      </c>
      <c r="J79" s="176">
        <v>715178.51</v>
      </c>
      <c r="K79" s="176">
        <v>0</v>
      </c>
      <c r="L79" s="176">
        <v>715178.51</v>
      </c>
    </row>
    <row r="80" spans="1:12" x14ac:dyDescent="0.3">
      <c r="A80" s="246" t="s">
        <v>326</v>
      </c>
      <c r="B80" s="70" t="s">
        <v>967</v>
      </c>
      <c r="C80" s="176">
        <v>0</v>
      </c>
      <c r="D80" s="176">
        <v>166.75</v>
      </c>
      <c r="E80" s="176">
        <v>12623.15</v>
      </c>
      <c r="F80" s="162">
        <v>0</v>
      </c>
      <c r="G80" s="176">
        <v>1132.4000000000001</v>
      </c>
      <c r="H80" s="176">
        <v>12553.1</v>
      </c>
      <c r="I80" s="176">
        <v>13755.55</v>
      </c>
      <c r="J80" s="176">
        <v>12553.1</v>
      </c>
      <c r="K80" s="176">
        <v>1035.7</v>
      </c>
      <c r="L80" s="176">
        <v>0</v>
      </c>
    </row>
    <row r="81" spans="1:12" x14ac:dyDescent="0.3">
      <c r="A81" s="246" t="s">
        <v>958</v>
      </c>
      <c r="B81" s="70" t="s">
        <v>1117</v>
      </c>
      <c r="C81" s="176">
        <v>0</v>
      </c>
      <c r="D81" s="176">
        <v>1261854.54</v>
      </c>
      <c r="E81" s="176">
        <v>0</v>
      </c>
      <c r="F81" s="176">
        <v>57702.31</v>
      </c>
      <c r="G81" s="162">
        <v>0</v>
      </c>
      <c r="H81" s="162">
        <v>0</v>
      </c>
      <c r="I81" s="176">
        <v>0</v>
      </c>
      <c r="J81" s="176">
        <v>57702.31</v>
      </c>
      <c r="K81" s="176">
        <v>0</v>
      </c>
      <c r="L81" s="176">
        <v>1319556.8500000001</v>
      </c>
    </row>
    <row r="82" spans="1:12" x14ac:dyDescent="0.3">
      <c r="A82" s="246" t="s">
        <v>995</v>
      </c>
      <c r="B82" s="70" t="s">
        <v>1334</v>
      </c>
      <c r="C82" s="176">
        <v>5384.45</v>
      </c>
      <c r="D82" s="176">
        <v>0</v>
      </c>
      <c r="E82" s="162">
        <v>0</v>
      </c>
      <c r="F82" s="162">
        <v>0</v>
      </c>
      <c r="G82" s="176">
        <v>5107.46</v>
      </c>
      <c r="H82" s="162">
        <v>0</v>
      </c>
      <c r="I82" s="176">
        <v>5107.46</v>
      </c>
      <c r="J82" s="162">
        <v>0</v>
      </c>
      <c r="K82" s="176">
        <v>10491.91</v>
      </c>
      <c r="L82" s="176">
        <v>0</v>
      </c>
    </row>
    <row r="83" spans="1:12" x14ac:dyDescent="0.3">
      <c r="A83" s="246" t="s">
        <v>1323</v>
      </c>
      <c r="B83" s="70" t="s">
        <v>829</v>
      </c>
      <c r="C83" s="176">
        <v>6169.53</v>
      </c>
      <c r="D83" s="176">
        <v>0</v>
      </c>
      <c r="E83" s="162">
        <v>0</v>
      </c>
      <c r="F83" s="162">
        <v>0</v>
      </c>
      <c r="G83" s="176">
        <v>2459.4899999999998</v>
      </c>
      <c r="H83" s="162">
        <v>0</v>
      </c>
      <c r="I83" s="176">
        <v>2459.4899999999998</v>
      </c>
      <c r="J83" s="162">
        <v>0</v>
      </c>
      <c r="K83" s="176">
        <v>8629.02</v>
      </c>
      <c r="L83" s="176">
        <v>0</v>
      </c>
    </row>
    <row r="84" spans="1:12" x14ac:dyDescent="0.3">
      <c r="A84" s="246" t="s">
        <v>535</v>
      </c>
      <c r="B84" s="70" t="s">
        <v>38</v>
      </c>
      <c r="C84" s="176">
        <v>387.37</v>
      </c>
      <c r="D84" s="176">
        <v>0</v>
      </c>
      <c r="E84" s="162">
        <v>0</v>
      </c>
      <c r="F84" s="162">
        <v>0</v>
      </c>
      <c r="G84" s="176">
        <v>2074.88</v>
      </c>
      <c r="H84" s="162">
        <v>0</v>
      </c>
      <c r="I84" s="176">
        <v>2074.88</v>
      </c>
      <c r="J84" s="162">
        <v>0</v>
      </c>
      <c r="K84" s="176">
        <v>2462.25</v>
      </c>
      <c r="L84" s="176">
        <v>0</v>
      </c>
    </row>
    <row r="85" spans="1:12" x14ac:dyDescent="0.3">
      <c r="A85" s="246" t="s">
        <v>109</v>
      </c>
      <c r="B85" s="70" t="s">
        <v>913</v>
      </c>
      <c r="C85" s="176">
        <v>0</v>
      </c>
      <c r="D85" s="176">
        <v>0</v>
      </c>
      <c r="E85" s="176">
        <v>7711.45</v>
      </c>
      <c r="F85" s="176">
        <v>8004.01</v>
      </c>
      <c r="G85" s="176">
        <v>691.89</v>
      </c>
      <c r="H85" s="176">
        <v>694.89</v>
      </c>
      <c r="I85" s="176">
        <v>8403.34</v>
      </c>
      <c r="J85" s="176">
        <v>8698.9</v>
      </c>
      <c r="K85" s="176">
        <v>0</v>
      </c>
      <c r="L85" s="176">
        <v>295.56</v>
      </c>
    </row>
    <row r="86" spans="1:12" x14ac:dyDescent="0.3">
      <c r="A86" s="246" t="s">
        <v>36</v>
      </c>
      <c r="B86" s="70" t="s">
        <v>1284</v>
      </c>
      <c r="C86" s="176">
        <v>11088.75</v>
      </c>
      <c r="D86" s="176">
        <v>0</v>
      </c>
      <c r="E86" s="176">
        <v>3451.27</v>
      </c>
      <c r="F86" s="176">
        <v>11088.75</v>
      </c>
      <c r="G86" s="176">
        <v>6654.78</v>
      </c>
      <c r="H86" s="162">
        <v>0</v>
      </c>
      <c r="I86" s="176">
        <v>10106.049999999999</v>
      </c>
      <c r="J86" s="176">
        <v>11088.75</v>
      </c>
      <c r="K86" s="176">
        <v>10106.049999999999</v>
      </c>
      <c r="L86" s="176">
        <v>0</v>
      </c>
    </row>
    <row r="87" spans="1:12" x14ac:dyDescent="0.3">
      <c r="A87" s="246" t="s">
        <v>954</v>
      </c>
      <c r="B87" s="70" t="s">
        <v>130</v>
      </c>
      <c r="C87" s="176">
        <v>0</v>
      </c>
      <c r="D87" s="176">
        <v>0</v>
      </c>
      <c r="E87" s="176">
        <v>0</v>
      </c>
      <c r="F87" s="162">
        <v>0</v>
      </c>
      <c r="G87" s="162">
        <v>0</v>
      </c>
      <c r="H87" s="162">
        <v>0</v>
      </c>
      <c r="I87" s="176">
        <v>0</v>
      </c>
      <c r="J87" s="162">
        <v>0</v>
      </c>
      <c r="K87" s="176">
        <v>0</v>
      </c>
      <c r="L87" s="176">
        <v>0</v>
      </c>
    </row>
    <row r="88" spans="1:12" x14ac:dyDescent="0.3">
      <c r="A88" s="246" t="s">
        <v>43</v>
      </c>
      <c r="B88" s="70" t="s">
        <v>1163</v>
      </c>
      <c r="C88" s="176">
        <v>343401</v>
      </c>
      <c r="D88" s="176">
        <v>0</v>
      </c>
      <c r="E88" s="176">
        <v>-343401</v>
      </c>
      <c r="F88" s="162">
        <v>0</v>
      </c>
      <c r="G88" s="176">
        <v>1507460.08</v>
      </c>
      <c r="H88" s="162">
        <v>0</v>
      </c>
      <c r="I88" s="176">
        <v>1164059.08</v>
      </c>
      <c r="J88" s="162">
        <v>0</v>
      </c>
      <c r="K88" s="176">
        <v>1507460.08</v>
      </c>
      <c r="L88" s="176">
        <v>0</v>
      </c>
    </row>
    <row r="89" spans="1:12" x14ac:dyDescent="0.3">
      <c r="A89" s="246" t="s">
        <v>113</v>
      </c>
      <c r="B89" s="70" t="s">
        <v>99</v>
      </c>
      <c r="C89" s="176">
        <v>0</v>
      </c>
      <c r="D89" s="176">
        <v>155975.92000000001</v>
      </c>
      <c r="E89" s="162">
        <v>0</v>
      </c>
      <c r="F89" s="162">
        <v>0</v>
      </c>
      <c r="G89" s="162">
        <v>0</v>
      </c>
      <c r="H89" s="162">
        <v>0</v>
      </c>
      <c r="I89" s="162">
        <v>0</v>
      </c>
      <c r="J89" s="162">
        <v>0</v>
      </c>
      <c r="K89" s="176">
        <v>0</v>
      </c>
      <c r="L89" s="176">
        <v>155975.92000000001</v>
      </c>
    </row>
    <row r="90" spans="1:12" x14ac:dyDescent="0.3">
      <c r="A90" s="246" t="s">
        <v>266</v>
      </c>
      <c r="B90" s="70" t="s">
        <v>850</v>
      </c>
      <c r="C90" s="176">
        <v>0</v>
      </c>
      <c r="D90" s="176">
        <v>1327757</v>
      </c>
      <c r="E90" s="162">
        <v>0</v>
      </c>
      <c r="F90" s="162">
        <v>0</v>
      </c>
      <c r="G90" s="162">
        <v>0</v>
      </c>
      <c r="H90" s="162">
        <v>0</v>
      </c>
      <c r="I90" s="162">
        <v>0</v>
      </c>
      <c r="J90" s="162">
        <v>0</v>
      </c>
      <c r="K90" s="176">
        <v>0</v>
      </c>
      <c r="L90" s="176">
        <v>1327757</v>
      </c>
    </row>
    <row r="91" spans="1:12" x14ac:dyDescent="0.3">
      <c r="A91" s="246" t="s">
        <v>461</v>
      </c>
      <c r="B91" s="70" t="s">
        <v>122</v>
      </c>
      <c r="C91" s="176">
        <v>0</v>
      </c>
      <c r="D91" s="176">
        <v>664000</v>
      </c>
      <c r="E91" s="162">
        <v>0</v>
      </c>
      <c r="F91" s="162">
        <v>0</v>
      </c>
      <c r="G91" s="162">
        <v>0</v>
      </c>
      <c r="H91" s="162">
        <v>0</v>
      </c>
      <c r="I91" s="162">
        <v>0</v>
      </c>
      <c r="J91" s="162">
        <v>0</v>
      </c>
      <c r="K91" s="176">
        <v>0</v>
      </c>
      <c r="L91" s="176">
        <v>664000</v>
      </c>
    </row>
    <row r="92" spans="1:12" x14ac:dyDescent="0.3">
      <c r="A92" s="246" t="s">
        <v>1181</v>
      </c>
      <c r="B92" s="70" t="s">
        <v>403</v>
      </c>
      <c r="C92" s="176">
        <v>0</v>
      </c>
      <c r="D92" s="176">
        <v>132775.70000000001</v>
      </c>
      <c r="E92" s="162">
        <v>0</v>
      </c>
      <c r="F92" s="162">
        <v>0</v>
      </c>
      <c r="G92" s="162">
        <v>0</v>
      </c>
      <c r="H92" s="162">
        <v>0</v>
      </c>
      <c r="I92" s="162">
        <v>0</v>
      </c>
      <c r="J92" s="162">
        <v>0</v>
      </c>
      <c r="K92" s="176">
        <v>0</v>
      </c>
      <c r="L92" s="176">
        <v>132775.70000000001</v>
      </c>
    </row>
    <row r="93" spans="1:12" x14ac:dyDescent="0.3">
      <c r="A93" s="246" t="s">
        <v>615</v>
      </c>
      <c r="B93" s="70" t="s">
        <v>735</v>
      </c>
      <c r="C93" s="176">
        <v>0</v>
      </c>
      <c r="D93" s="176">
        <v>747720.23</v>
      </c>
      <c r="E93" s="176">
        <v>22829.13</v>
      </c>
      <c r="F93" s="162">
        <v>0</v>
      </c>
      <c r="G93" s="162">
        <v>0</v>
      </c>
      <c r="H93" s="162">
        <v>0</v>
      </c>
      <c r="I93" s="176">
        <v>22829.13</v>
      </c>
      <c r="J93" s="162">
        <v>0</v>
      </c>
      <c r="K93" s="176">
        <v>0</v>
      </c>
      <c r="L93" s="176">
        <v>724891.1</v>
      </c>
    </row>
    <row r="94" spans="1:12" x14ac:dyDescent="0.3">
      <c r="A94" s="246" t="s">
        <v>14</v>
      </c>
      <c r="B94" s="70" t="s">
        <v>96</v>
      </c>
      <c r="C94" s="176">
        <v>0</v>
      </c>
      <c r="D94" s="176">
        <v>0</v>
      </c>
      <c r="E94" s="176">
        <v>22829.13</v>
      </c>
      <c r="F94" s="176">
        <v>22829.13</v>
      </c>
      <c r="G94" s="162">
        <v>0</v>
      </c>
      <c r="H94" s="162">
        <v>0</v>
      </c>
      <c r="I94" s="176">
        <v>22829.13</v>
      </c>
      <c r="J94" s="176">
        <v>22829.13</v>
      </c>
      <c r="K94" s="176">
        <v>0</v>
      </c>
      <c r="L94" s="176">
        <v>0</v>
      </c>
    </row>
    <row r="95" spans="1:12" x14ac:dyDescent="0.3">
      <c r="A95" s="246" t="s">
        <v>960</v>
      </c>
      <c r="B95" s="70" t="s">
        <v>1020</v>
      </c>
      <c r="C95" s="176">
        <v>22829.13</v>
      </c>
      <c r="D95" s="176">
        <v>0</v>
      </c>
      <c r="E95" s="162">
        <v>0</v>
      </c>
      <c r="F95" s="176">
        <v>22829.13</v>
      </c>
      <c r="G95" s="162">
        <v>0</v>
      </c>
      <c r="H95" s="162">
        <v>0</v>
      </c>
      <c r="I95" s="162">
        <v>0</v>
      </c>
      <c r="J95" s="176">
        <v>22829.13</v>
      </c>
      <c r="K95" s="176">
        <v>0</v>
      </c>
      <c r="L95" s="176">
        <v>0</v>
      </c>
    </row>
    <row r="96" spans="1:12" x14ac:dyDescent="0.3">
      <c r="A96" s="246" t="s">
        <v>392</v>
      </c>
      <c r="B96" s="70" t="s">
        <v>577</v>
      </c>
      <c r="C96" s="176">
        <v>0</v>
      </c>
      <c r="D96" s="176">
        <v>21146</v>
      </c>
      <c r="E96" s="162">
        <v>0</v>
      </c>
      <c r="F96" s="162">
        <v>0</v>
      </c>
      <c r="G96" s="162">
        <v>0</v>
      </c>
      <c r="H96" s="176">
        <v>18108</v>
      </c>
      <c r="I96" s="162">
        <v>0</v>
      </c>
      <c r="J96" s="176">
        <v>18108</v>
      </c>
      <c r="K96" s="176">
        <v>0</v>
      </c>
      <c r="L96" s="176">
        <v>39254</v>
      </c>
    </row>
    <row r="97" spans="1:12" x14ac:dyDescent="0.3">
      <c r="A97" s="246" t="s">
        <v>363</v>
      </c>
      <c r="B97" s="70" t="s">
        <v>679</v>
      </c>
      <c r="C97" s="176">
        <v>0</v>
      </c>
      <c r="D97" s="176">
        <v>27900</v>
      </c>
      <c r="E97" s="176">
        <v>27900</v>
      </c>
      <c r="F97" s="162">
        <v>0</v>
      </c>
      <c r="G97" s="162">
        <v>0</v>
      </c>
      <c r="H97" s="162">
        <v>0</v>
      </c>
      <c r="I97" s="176">
        <v>27900</v>
      </c>
      <c r="J97" s="162">
        <v>0</v>
      </c>
      <c r="K97" s="176">
        <v>0</v>
      </c>
      <c r="L97" s="176">
        <v>0</v>
      </c>
    </row>
    <row r="98" spans="1:12" x14ac:dyDescent="0.3">
      <c r="A98" s="246" t="s">
        <v>217</v>
      </c>
      <c r="B98" s="70" t="s">
        <v>1089</v>
      </c>
      <c r="C98" s="176">
        <v>0</v>
      </c>
      <c r="D98" s="176">
        <v>14826.45</v>
      </c>
      <c r="E98" s="176">
        <v>785</v>
      </c>
      <c r="F98" s="176">
        <v>2570.7199999999998</v>
      </c>
      <c r="G98" s="162">
        <v>0</v>
      </c>
      <c r="H98" s="162">
        <v>0</v>
      </c>
      <c r="I98" s="176">
        <v>785</v>
      </c>
      <c r="J98" s="176">
        <v>2570.7199999999998</v>
      </c>
      <c r="K98" s="176">
        <v>0</v>
      </c>
      <c r="L98" s="176">
        <v>16612.169999999998</v>
      </c>
    </row>
    <row r="99" spans="1:12" x14ac:dyDescent="0.3">
      <c r="A99" s="246" t="s">
        <v>442</v>
      </c>
      <c r="B99" s="70" t="s">
        <v>313</v>
      </c>
      <c r="C99" s="176">
        <v>0</v>
      </c>
      <c r="D99" s="176">
        <v>4960.1000000000004</v>
      </c>
      <c r="E99" s="176">
        <v>4514.01</v>
      </c>
      <c r="F99" s="162">
        <v>0</v>
      </c>
      <c r="G99" s="176">
        <v>446.09</v>
      </c>
      <c r="H99" s="162">
        <v>0</v>
      </c>
      <c r="I99" s="176">
        <v>4960.1000000000004</v>
      </c>
      <c r="J99" s="162">
        <v>0</v>
      </c>
      <c r="K99" s="176">
        <v>0</v>
      </c>
      <c r="L99" s="176">
        <v>0</v>
      </c>
    </row>
    <row r="100" spans="1:12" x14ac:dyDescent="0.3">
      <c r="A100" s="246" t="s">
        <v>718</v>
      </c>
      <c r="B100" s="70" t="s">
        <v>683</v>
      </c>
      <c r="C100" s="176">
        <v>4018</v>
      </c>
      <c r="D100" s="176">
        <v>0</v>
      </c>
      <c r="E100" s="162">
        <v>0</v>
      </c>
      <c r="F100" s="162">
        <v>0</v>
      </c>
      <c r="G100" s="176">
        <v>3441</v>
      </c>
      <c r="H100" s="162">
        <v>0</v>
      </c>
      <c r="I100" s="176">
        <v>3441</v>
      </c>
      <c r="J100" s="162">
        <v>0</v>
      </c>
      <c r="K100" s="176">
        <v>7459</v>
      </c>
      <c r="L100" s="176">
        <v>0</v>
      </c>
    </row>
    <row r="101" spans="1:12" x14ac:dyDescent="0.3">
      <c r="A101" s="246" t="s">
        <v>778</v>
      </c>
      <c r="B101" s="70" t="s">
        <v>887</v>
      </c>
      <c r="C101" s="176">
        <v>0</v>
      </c>
      <c r="D101" s="176">
        <v>0</v>
      </c>
      <c r="E101" s="176">
        <v>5369902</v>
      </c>
      <c r="F101" s="162">
        <v>0</v>
      </c>
      <c r="G101" s="176">
        <v>-1594563.82</v>
      </c>
      <c r="H101" s="162">
        <v>0</v>
      </c>
      <c r="I101" s="176">
        <v>3775338.18</v>
      </c>
      <c r="J101" s="162">
        <v>0</v>
      </c>
      <c r="K101" s="176">
        <v>3775338.18</v>
      </c>
      <c r="L101" s="176">
        <v>0</v>
      </c>
    </row>
    <row r="102" spans="1:12" x14ac:dyDescent="0.3">
      <c r="A102" s="246" t="s">
        <v>222</v>
      </c>
      <c r="B102" s="70" t="s">
        <v>622</v>
      </c>
      <c r="C102" s="176">
        <v>0</v>
      </c>
      <c r="D102" s="176">
        <v>0</v>
      </c>
      <c r="E102" s="176">
        <v>27417.87</v>
      </c>
      <c r="F102" s="162">
        <v>0</v>
      </c>
      <c r="G102" s="176">
        <v>4977.9799999999996</v>
      </c>
      <c r="H102" s="162">
        <v>0</v>
      </c>
      <c r="I102" s="176">
        <v>32395.85</v>
      </c>
      <c r="J102" s="162">
        <v>0</v>
      </c>
      <c r="K102" s="176">
        <v>32395.85</v>
      </c>
      <c r="L102" s="176">
        <v>0</v>
      </c>
    </row>
    <row r="103" spans="1:12" x14ac:dyDescent="0.3">
      <c r="A103" s="246" t="s">
        <v>366</v>
      </c>
      <c r="B103" s="70" t="s">
        <v>726</v>
      </c>
      <c r="C103" s="176">
        <v>0</v>
      </c>
      <c r="D103" s="176">
        <v>0</v>
      </c>
      <c r="E103" s="176">
        <v>170823.98</v>
      </c>
      <c r="F103" s="162">
        <v>0</v>
      </c>
      <c r="G103" s="176">
        <v>9654.24</v>
      </c>
      <c r="H103" s="162">
        <v>0</v>
      </c>
      <c r="I103" s="176">
        <v>180478.22</v>
      </c>
      <c r="J103" s="162">
        <v>0</v>
      </c>
      <c r="K103" s="176">
        <v>180478.22</v>
      </c>
      <c r="L103" s="176">
        <v>0</v>
      </c>
    </row>
    <row r="104" spans="1:12" x14ac:dyDescent="0.3">
      <c r="A104" s="246" t="s">
        <v>965</v>
      </c>
      <c r="B104" s="70" t="s">
        <v>548</v>
      </c>
      <c r="C104" s="176">
        <v>0</v>
      </c>
      <c r="D104" s="176">
        <v>0</v>
      </c>
      <c r="E104" s="176">
        <v>1432.97</v>
      </c>
      <c r="F104" s="162">
        <v>0</v>
      </c>
      <c r="G104" s="162">
        <v>0</v>
      </c>
      <c r="H104" s="162">
        <v>0</v>
      </c>
      <c r="I104" s="176">
        <v>1432.97</v>
      </c>
      <c r="J104" s="162">
        <v>0</v>
      </c>
      <c r="K104" s="176">
        <v>1432.97</v>
      </c>
      <c r="L104" s="176">
        <v>0</v>
      </c>
    </row>
    <row r="105" spans="1:12" x14ac:dyDescent="0.3">
      <c r="A105" s="246" t="s">
        <v>457</v>
      </c>
      <c r="B105" s="70" t="s">
        <v>1091</v>
      </c>
      <c r="C105" s="176">
        <v>0</v>
      </c>
      <c r="D105" s="176">
        <v>0</v>
      </c>
      <c r="E105" s="176">
        <v>69924.08</v>
      </c>
      <c r="F105" s="162">
        <v>0</v>
      </c>
      <c r="G105" s="176">
        <v>8137.59</v>
      </c>
      <c r="H105" s="162">
        <v>0</v>
      </c>
      <c r="I105" s="176">
        <v>78061.67</v>
      </c>
      <c r="J105" s="162">
        <v>0</v>
      </c>
      <c r="K105" s="176">
        <v>78061.67</v>
      </c>
      <c r="L105" s="176">
        <v>0</v>
      </c>
    </row>
    <row r="106" spans="1:12" x14ac:dyDescent="0.3">
      <c r="A106" s="246" t="s">
        <v>866</v>
      </c>
      <c r="B106" s="70" t="s">
        <v>1085</v>
      </c>
      <c r="C106" s="176">
        <v>0</v>
      </c>
      <c r="D106" s="176">
        <v>0</v>
      </c>
      <c r="E106" s="176">
        <v>4675.25</v>
      </c>
      <c r="F106" s="162">
        <v>0</v>
      </c>
      <c r="G106" s="176">
        <v>225.6</v>
      </c>
      <c r="H106" s="162">
        <v>0</v>
      </c>
      <c r="I106" s="176">
        <v>4900.8500000000004</v>
      </c>
      <c r="J106" s="162">
        <v>0</v>
      </c>
      <c r="K106" s="176">
        <v>4900.8500000000004</v>
      </c>
      <c r="L106" s="176">
        <v>0</v>
      </c>
    </row>
    <row r="107" spans="1:12" x14ac:dyDescent="0.3">
      <c r="A107" s="246" t="s">
        <v>446</v>
      </c>
      <c r="B107" s="70" t="s">
        <v>287</v>
      </c>
      <c r="C107" s="176">
        <v>0</v>
      </c>
      <c r="D107" s="176">
        <v>0</v>
      </c>
      <c r="E107" s="176">
        <v>3910.82</v>
      </c>
      <c r="F107" s="162">
        <v>0</v>
      </c>
      <c r="G107" s="176">
        <v>16.88</v>
      </c>
      <c r="H107" s="162">
        <v>0</v>
      </c>
      <c r="I107" s="176">
        <v>3927.7</v>
      </c>
      <c r="J107" s="162">
        <v>0</v>
      </c>
      <c r="K107" s="176">
        <v>3927.7</v>
      </c>
      <c r="L107" s="176">
        <v>0</v>
      </c>
    </row>
    <row r="108" spans="1:12" x14ac:dyDescent="0.3">
      <c r="A108" s="246" t="s">
        <v>1105</v>
      </c>
      <c r="B108" s="70" t="s">
        <v>1041</v>
      </c>
      <c r="C108" s="176">
        <v>0</v>
      </c>
      <c r="D108" s="176">
        <v>0</v>
      </c>
      <c r="E108" s="176">
        <v>1365.15</v>
      </c>
      <c r="F108" s="162">
        <v>0</v>
      </c>
      <c r="G108" s="176">
        <v>459.7</v>
      </c>
      <c r="H108" s="162">
        <v>0</v>
      </c>
      <c r="I108" s="176">
        <v>1824.85</v>
      </c>
      <c r="J108" s="162">
        <v>0</v>
      </c>
      <c r="K108" s="176">
        <v>1824.85</v>
      </c>
      <c r="L108" s="176">
        <v>0</v>
      </c>
    </row>
    <row r="109" spans="1:12" x14ac:dyDescent="0.3">
      <c r="A109" s="246" t="s">
        <v>151</v>
      </c>
      <c r="B109" s="70" t="s">
        <v>1095</v>
      </c>
      <c r="C109" s="176">
        <v>0</v>
      </c>
      <c r="D109" s="176">
        <v>0</v>
      </c>
      <c r="E109" s="176">
        <v>1380.33</v>
      </c>
      <c r="F109" s="162">
        <v>0</v>
      </c>
      <c r="G109" s="176">
        <v>52.15</v>
      </c>
      <c r="H109" s="162">
        <v>0</v>
      </c>
      <c r="I109" s="176">
        <v>1432.48</v>
      </c>
      <c r="J109" s="162">
        <v>0</v>
      </c>
      <c r="K109" s="176">
        <v>1432.48</v>
      </c>
      <c r="L109" s="176">
        <v>0</v>
      </c>
    </row>
    <row r="110" spans="1:12" x14ac:dyDescent="0.3">
      <c r="A110" s="246" t="s">
        <v>673</v>
      </c>
      <c r="B110" s="70" t="s">
        <v>887</v>
      </c>
      <c r="C110" s="176">
        <v>0</v>
      </c>
      <c r="D110" s="176">
        <v>0</v>
      </c>
      <c r="E110" s="176">
        <v>3097.8</v>
      </c>
      <c r="F110" s="162">
        <v>0</v>
      </c>
      <c r="G110" s="176">
        <v>3.81</v>
      </c>
      <c r="H110" s="162">
        <v>0</v>
      </c>
      <c r="I110" s="176">
        <v>3101.61</v>
      </c>
      <c r="J110" s="162">
        <v>0</v>
      </c>
      <c r="K110" s="176">
        <v>3101.61</v>
      </c>
      <c r="L110" s="176">
        <v>0</v>
      </c>
    </row>
    <row r="111" spans="1:12" x14ac:dyDescent="0.3">
      <c r="A111" s="246" t="s">
        <v>408</v>
      </c>
      <c r="B111" s="70" t="s">
        <v>204</v>
      </c>
      <c r="C111" s="176">
        <v>0</v>
      </c>
      <c r="D111" s="176">
        <v>0</v>
      </c>
      <c r="E111" s="176">
        <v>58397.2</v>
      </c>
      <c r="F111" s="162">
        <v>0</v>
      </c>
      <c r="G111" s="176">
        <v>-922.13</v>
      </c>
      <c r="H111" s="162">
        <v>0</v>
      </c>
      <c r="I111" s="176">
        <v>57475.07</v>
      </c>
      <c r="J111" s="162">
        <v>0</v>
      </c>
      <c r="K111" s="176">
        <v>57475.07</v>
      </c>
      <c r="L111" s="176">
        <v>0</v>
      </c>
    </row>
    <row r="112" spans="1:12" x14ac:dyDescent="0.3">
      <c r="A112" s="246" t="s">
        <v>1259</v>
      </c>
      <c r="B112" s="70" t="s">
        <v>571</v>
      </c>
      <c r="C112" s="176">
        <v>0</v>
      </c>
      <c r="D112" s="176">
        <v>0</v>
      </c>
      <c r="E112" s="176">
        <v>26890.47</v>
      </c>
      <c r="F112" s="162">
        <v>0</v>
      </c>
      <c r="G112" s="176">
        <v>7666.81</v>
      </c>
      <c r="H112" s="162">
        <v>0</v>
      </c>
      <c r="I112" s="176">
        <v>34557.279999999999</v>
      </c>
      <c r="J112" s="162">
        <v>0</v>
      </c>
      <c r="K112" s="176">
        <v>34557.279999999999</v>
      </c>
      <c r="L112" s="176">
        <v>0</v>
      </c>
    </row>
    <row r="113" spans="1:12" x14ac:dyDescent="0.3">
      <c r="A113" s="246" t="s">
        <v>1197</v>
      </c>
      <c r="B113" s="70" t="s">
        <v>78</v>
      </c>
      <c r="C113" s="176">
        <v>0</v>
      </c>
      <c r="D113" s="176">
        <v>0</v>
      </c>
      <c r="E113" s="162">
        <v>0</v>
      </c>
      <c r="F113" s="162">
        <v>0</v>
      </c>
      <c r="G113" s="176">
        <v>2653452.5099999998</v>
      </c>
      <c r="H113" s="162">
        <v>0</v>
      </c>
      <c r="I113" s="176">
        <v>2653452.5099999998</v>
      </c>
      <c r="J113" s="162">
        <v>0</v>
      </c>
      <c r="K113" s="176">
        <v>2653452.5099999998</v>
      </c>
      <c r="L113" s="176">
        <v>0</v>
      </c>
    </row>
    <row r="114" spans="1:12" x14ac:dyDescent="0.3">
      <c r="A114" s="246" t="s">
        <v>721</v>
      </c>
      <c r="B114" s="70" t="s">
        <v>550</v>
      </c>
      <c r="C114" s="176">
        <v>0</v>
      </c>
      <c r="D114" s="176">
        <v>0</v>
      </c>
      <c r="E114" s="176">
        <v>46001.26</v>
      </c>
      <c r="F114" s="162">
        <v>0</v>
      </c>
      <c r="G114" s="176">
        <v>3640.59</v>
      </c>
      <c r="H114" s="162">
        <v>0</v>
      </c>
      <c r="I114" s="176">
        <v>49641.85</v>
      </c>
      <c r="J114" s="162">
        <v>0</v>
      </c>
      <c r="K114" s="176">
        <v>49641.85</v>
      </c>
      <c r="L114" s="176">
        <v>0</v>
      </c>
    </row>
    <row r="115" spans="1:12" x14ac:dyDescent="0.3">
      <c r="A115" s="246" t="s">
        <v>59</v>
      </c>
      <c r="B115" s="70" t="s">
        <v>650</v>
      </c>
      <c r="C115" s="176">
        <v>0</v>
      </c>
      <c r="D115" s="176">
        <v>0</v>
      </c>
      <c r="E115" s="176">
        <v>41380.239999999998</v>
      </c>
      <c r="F115" s="162">
        <v>0</v>
      </c>
      <c r="G115" s="176">
        <v>4248.43</v>
      </c>
      <c r="H115" s="162">
        <v>0</v>
      </c>
      <c r="I115" s="176">
        <v>45628.67</v>
      </c>
      <c r="J115" s="162">
        <v>0</v>
      </c>
      <c r="K115" s="176">
        <v>45628.67</v>
      </c>
      <c r="L115" s="176">
        <v>0</v>
      </c>
    </row>
    <row r="116" spans="1:12" x14ac:dyDescent="0.3">
      <c r="A116" s="246" t="s">
        <v>244</v>
      </c>
      <c r="B116" s="70" t="s">
        <v>434</v>
      </c>
      <c r="C116" s="176">
        <v>0</v>
      </c>
      <c r="D116" s="176">
        <v>0</v>
      </c>
      <c r="E116" s="176">
        <v>794.4</v>
      </c>
      <c r="F116" s="162">
        <v>0</v>
      </c>
      <c r="G116" s="176">
        <v>1668.31</v>
      </c>
      <c r="H116" s="162">
        <v>0</v>
      </c>
      <c r="I116" s="176">
        <v>2462.71</v>
      </c>
      <c r="J116" s="162">
        <v>0</v>
      </c>
      <c r="K116" s="176">
        <v>2462.71</v>
      </c>
      <c r="L116" s="176">
        <v>0</v>
      </c>
    </row>
    <row r="117" spans="1:12" x14ac:dyDescent="0.3">
      <c r="A117" s="246" t="s">
        <v>1050</v>
      </c>
      <c r="B117" s="70" t="s">
        <v>637</v>
      </c>
      <c r="C117" s="176">
        <v>0</v>
      </c>
      <c r="D117" s="176">
        <v>0</v>
      </c>
      <c r="E117" s="176">
        <v>586.88</v>
      </c>
      <c r="F117" s="162">
        <v>0</v>
      </c>
      <c r="G117" s="162">
        <v>0</v>
      </c>
      <c r="H117" s="162">
        <v>0</v>
      </c>
      <c r="I117" s="176">
        <v>586.88</v>
      </c>
      <c r="J117" s="162">
        <v>0</v>
      </c>
      <c r="K117" s="176">
        <v>586.88</v>
      </c>
      <c r="L117" s="176">
        <v>0</v>
      </c>
    </row>
    <row r="118" spans="1:12" x14ac:dyDescent="0.3">
      <c r="A118" s="246" t="s">
        <v>44</v>
      </c>
      <c r="B118" s="70" t="s">
        <v>637</v>
      </c>
      <c r="C118" s="176">
        <v>0</v>
      </c>
      <c r="D118" s="176">
        <v>0</v>
      </c>
      <c r="E118" s="176">
        <v>371696.24</v>
      </c>
      <c r="F118" s="162">
        <v>0</v>
      </c>
      <c r="G118" s="176">
        <v>32401.31</v>
      </c>
      <c r="H118" s="162">
        <v>0</v>
      </c>
      <c r="I118" s="176">
        <v>404097.55</v>
      </c>
      <c r="J118" s="162">
        <v>0</v>
      </c>
      <c r="K118" s="176">
        <v>404097.55</v>
      </c>
      <c r="L118" s="176">
        <v>0</v>
      </c>
    </row>
    <row r="119" spans="1:12" x14ac:dyDescent="0.3">
      <c r="A119" s="246" t="s">
        <v>500</v>
      </c>
      <c r="B119" s="70" t="s">
        <v>33</v>
      </c>
      <c r="C119" s="176">
        <v>0</v>
      </c>
      <c r="D119" s="176">
        <v>0</v>
      </c>
      <c r="E119" s="176">
        <v>3070853.68</v>
      </c>
      <c r="F119" s="162">
        <v>0</v>
      </c>
      <c r="G119" s="176">
        <v>1344598.61</v>
      </c>
      <c r="H119" s="162">
        <v>0</v>
      </c>
      <c r="I119" s="176">
        <v>4415452.29</v>
      </c>
      <c r="J119" s="162">
        <v>0</v>
      </c>
      <c r="K119" s="176">
        <v>4415452.29</v>
      </c>
      <c r="L119" s="176">
        <v>0</v>
      </c>
    </row>
    <row r="120" spans="1:12" x14ac:dyDescent="0.3">
      <c r="A120" s="246" t="s">
        <v>219</v>
      </c>
      <c r="B120" s="70" t="s">
        <v>637</v>
      </c>
      <c r="C120" s="176">
        <v>0</v>
      </c>
      <c r="D120" s="176">
        <v>0</v>
      </c>
      <c r="E120" s="176">
        <v>2445</v>
      </c>
      <c r="F120" s="162">
        <v>0</v>
      </c>
      <c r="G120" s="162">
        <v>0</v>
      </c>
      <c r="H120" s="162">
        <v>0</v>
      </c>
      <c r="I120" s="176">
        <v>2445</v>
      </c>
      <c r="J120" s="162">
        <v>0</v>
      </c>
      <c r="K120" s="176">
        <v>2445</v>
      </c>
      <c r="L120" s="176">
        <v>0</v>
      </c>
    </row>
    <row r="121" spans="1:12" x14ac:dyDescent="0.3">
      <c r="A121" s="246" t="s">
        <v>140</v>
      </c>
      <c r="B121" s="70" t="s">
        <v>808</v>
      </c>
      <c r="C121" s="176">
        <v>0</v>
      </c>
      <c r="D121" s="176">
        <v>0</v>
      </c>
      <c r="E121" s="176">
        <v>1134.21</v>
      </c>
      <c r="F121" s="162">
        <v>0</v>
      </c>
      <c r="G121" s="176">
        <v>45.55</v>
      </c>
      <c r="H121" s="162">
        <v>0</v>
      </c>
      <c r="I121" s="176">
        <v>1179.76</v>
      </c>
      <c r="J121" s="162">
        <v>0</v>
      </c>
      <c r="K121" s="176">
        <v>1179.76</v>
      </c>
      <c r="L121" s="176">
        <v>0</v>
      </c>
    </row>
    <row r="122" spans="1:12" x14ac:dyDescent="0.3">
      <c r="A122" s="246" t="s">
        <v>1260</v>
      </c>
      <c r="B122" s="70" t="s">
        <v>208</v>
      </c>
      <c r="C122" s="176">
        <v>0</v>
      </c>
      <c r="D122" s="176">
        <v>0</v>
      </c>
      <c r="E122" s="176">
        <v>390.21</v>
      </c>
      <c r="F122" s="162">
        <v>0</v>
      </c>
      <c r="G122" s="176">
        <v>244.43</v>
      </c>
      <c r="H122" s="162">
        <v>0</v>
      </c>
      <c r="I122" s="176">
        <v>634.64</v>
      </c>
      <c r="J122" s="162">
        <v>0</v>
      </c>
      <c r="K122" s="176">
        <v>634.64</v>
      </c>
      <c r="L122" s="176">
        <v>0</v>
      </c>
    </row>
    <row r="123" spans="1:12" x14ac:dyDescent="0.3">
      <c r="A123" s="246" t="s">
        <v>1014</v>
      </c>
      <c r="B123" s="70" t="s">
        <v>869</v>
      </c>
      <c r="C123" s="176">
        <v>0</v>
      </c>
      <c r="D123" s="176">
        <v>0</v>
      </c>
      <c r="E123" s="176">
        <v>302.39999999999998</v>
      </c>
      <c r="F123" s="162">
        <v>0</v>
      </c>
      <c r="G123" s="176">
        <v>302.39999999999998</v>
      </c>
      <c r="H123" s="162">
        <v>0</v>
      </c>
      <c r="I123" s="176">
        <v>604.79999999999995</v>
      </c>
      <c r="J123" s="162">
        <v>0</v>
      </c>
      <c r="K123" s="176">
        <v>604.79999999999995</v>
      </c>
      <c r="L123" s="176">
        <v>0</v>
      </c>
    </row>
    <row r="124" spans="1:12" x14ac:dyDescent="0.3">
      <c r="A124" s="246" t="s">
        <v>701</v>
      </c>
      <c r="B124" s="70" t="s">
        <v>465</v>
      </c>
      <c r="C124" s="176">
        <v>0</v>
      </c>
      <c r="D124" s="176">
        <v>0</v>
      </c>
      <c r="E124" s="176">
        <v>526124.12</v>
      </c>
      <c r="F124" s="162">
        <v>0</v>
      </c>
      <c r="G124" s="176">
        <v>93951.19</v>
      </c>
      <c r="H124" s="162">
        <v>0</v>
      </c>
      <c r="I124" s="176">
        <v>620075.31000000006</v>
      </c>
      <c r="J124" s="162">
        <v>0</v>
      </c>
      <c r="K124" s="176">
        <v>620075.31000000006</v>
      </c>
      <c r="L124" s="176">
        <v>0</v>
      </c>
    </row>
    <row r="125" spans="1:12" x14ac:dyDescent="0.3">
      <c r="A125" s="246" t="s">
        <v>356</v>
      </c>
      <c r="B125" s="70" t="s">
        <v>798</v>
      </c>
      <c r="C125" s="176">
        <v>0</v>
      </c>
      <c r="D125" s="176">
        <v>0</v>
      </c>
      <c r="E125" s="176">
        <v>183425.27</v>
      </c>
      <c r="F125" s="162">
        <v>0</v>
      </c>
      <c r="G125" s="176">
        <v>32909.08</v>
      </c>
      <c r="H125" s="162">
        <v>0</v>
      </c>
      <c r="I125" s="176">
        <v>216334.35</v>
      </c>
      <c r="J125" s="162">
        <v>0</v>
      </c>
      <c r="K125" s="176">
        <v>216334.35</v>
      </c>
      <c r="L125" s="176">
        <v>0</v>
      </c>
    </row>
    <row r="126" spans="1:12" x14ac:dyDescent="0.3">
      <c r="A126" s="246" t="s">
        <v>1254</v>
      </c>
      <c r="B126" s="70" t="s">
        <v>55</v>
      </c>
      <c r="C126" s="176">
        <v>0</v>
      </c>
      <c r="D126" s="176">
        <v>0</v>
      </c>
      <c r="E126" s="176">
        <v>20204</v>
      </c>
      <c r="F126" s="162">
        <v>0</v>
      </c>
      <c r="G126" s="176">
        <v>2108.7800000000002</v>
      </c>
      <c r="H126" s="162">
        <v>0</v>
      </c>
      <c r="I126" s="176">
        <v>22312.78</v>
      </c>
      <c r="J126" s="162">
        <v>0</v>
      </c>
      <c r="K126" s="176">
        <v>22312.78</v>
      </c>
      <c r="L126" s="176">
        <v>0</v>
      </c>
    </row>
    <row r="127" spans="1:12" x14ac:dyDescent="0.3">
      <c r="A127" s="246" t="s">
        <v>477</v>
      </c>
      <c r="B127" s="70" t="s">
        <v>55</v>
      </c>
      <c r="C127" s="176">
        <v>0</v>
      </c>
      <c r="D127" s="176">
        <v>0</v>
      </c>
      <c r="E127" s="176">
        <v>2085.86</v>
      </c>
      <c r="F127" s="162">
        <v>0</v>
      </c>
      <c r="G127" s="176">
        <v>18315.900000000001</v>
      </c>
      <c r="H127" s="162">
        <v>0</v>
      </c>
      <c r="I127" s="176">
        <v>20401.759999999998</v>
      </c>
      <c r="J127" s="162">
        <v>0</v>
      </c>
      <c r="K127" s="176">
        <v>20401.759999999998</v>
      </c>
      <c r="L127" s="176">
        <v>0</v>
      </c>
    </row>
    <row r="128" spans="1:12" x14ac:dyDescent="0.3">
      <c r="A128" s="246" t="s">
        <v>481</v>
      </c>
      <c r="B128" s="70" t="s">
        <v>1230</v>
      </c>
      <c r="C128" s="176">
        <v>0</v>
      </c>
      <c r="D128" s="176">
        <v>0</v>
      </c>
      <c r="E128" s="162">
        <v>0</v>
      </c>
      <c r="F128" s="162">
        <v>0</v>
      </c>
      <c r="G128" s="176">
        <v>12553.1</v>
      </c>
      <c r="H128" s="162">
        <v>0</v>
      </c>
      <c r="I128" s="176">
        <v>12553.1</v>
      </c>
      <c r="J128" s="162">
        <v>0</v>
      </c>
      <c r="K128" s="176">
        <v>12553.1</v>
      </c>
      <c r="L128" s="176">
        <v>0</v>
      </c>
    </row>
    <row r="129" spans="1:12" x14ac:dyDescent="0.3">
      <c r="A129" s="246" t="s">
        <v>663</v>
      </c>
      <c r="B129" s="70" t="s">
        <v>27</v>
      </c>
      <c r="C129" s="176">
        <v>0</v>
      </c>
      <c r="D129" s="176">
        <v>0</v>
      </c>
      <c r="E129" s="176">
        <v>8790.81</v>
      </c>
      <c r="F129" s="162">
        <v>0</v>
      </c>
      <c r="G129" s="162">
        <v>0</v>
      </c>
      <c r="H129" s="162">
        <v>0</v>
      </c>
      <c r="I129" s="176">
        <v>8790.81</v>
      </c>
      <c r="J129" s="162">
        <v>0</v>
      </c>
      <c r="K129" s="176">
        <v>8790.81</v>
      </c>
      <c r="L129" s="176">
        <v>0</v>
      </c>
    </row>
    <row r="130" spans="1:12" x14ac:dyDescent="0.3">
      <c r="A130" s="246" t="s">
        <v>938</v>
      </c>
      <c r="B130" s="70" t="s">
        <v>220</v>
      </c>
      <c r="C130" s="176">
        <v>0</v>
      </c>
      <c r="D130" s="176">
        <v>0</v>
      </c>
      <c r="E130" s="176">
        <v>5225.17</v>
      </c>
      <c r="F130" s="162">
        <v>0</v>
      </c>
      <c r="G130" s="176">
        <v>511.8</v>
      </c>
      <c r="H130" s="162">
        <v>0</v>
      </c>
      <c r="I130" s="176">
        <v>5736.97</v>
      </c>
      <c r="J130" s="162">
        <v>0</v>
      </c>
      <c r="K130" s="176">
        <v>5736.97</v>
      </c>
      <c r="L130" s="176">
        <v>0</v>
      </c>
    </row>
    <row r="131" spans="1:12" x14ac:dyDescent="0.3">
      <c r="A131" s="246" t="s">
        <v>462</v>
      </c>
      <c r="B131" s="70" t="s">
        <v>864</v>
      </c>
      <c r="C131" s="176">
        <v>0</v>
      </c>
      <c r="D131" s="176">
        <v>0</v>
      </c>
      <c r="E131" s="162">
        <v>0</v>
      </c>
      <c r="F131" s="162">
        <v>0</v>
      </c>
      <c r="G131" s="176">
        <v>2000</v>
      </c>
      <c r="H131" s="162">
        <v>0</v>
      </c>
      <c r="I131" s="176">
        <v>2000</v>
      </c>
      <c r="J131" s="162">
        <v>0</v>
      </c>
      <c r="K131" s="176">
        <v>2000</v>
      </c>
      <c r="L131" s="176">
        <v>0</v>
      </c>
    </row>
    <row r="132" spans="1:12" x14ac:dyDescent="0.3">
      <c r="A132" s="246" t="s">
        <v>531</v>
      </c>
      <c r="B132" s="70" t="s">
        <v>1161</v>
      </c>
      <c r="C132" s="176">
        <v>0</v>
      </c>
      <c r="D132" s="176">
        <v>0</v>
      </c>
      <c r="E132" s="176">
        <v>1614.91</v>
      </c>
      <c r="F132" s="162">
        <v>0</v>
      </c>
      <c r="G132" s="162">
        <v>0</v>
      </c>
      <c r="H132" s="162">
        <v>0</v>
      </c>
      <c r="I132" s="176">
        <v>1614.91</v>
      </c>
      <c r="J132" s="162">
        <v>0</v>
      </c>
      <c r="K132" s="176">
        <v>1614.91</v>
      </c>
      <c r="L132" s="176">
        <v>0</v>
      </c>
    </row>
    <row r="133" spans="1:12" x14ac:dyDescent="0.3">
      <c r="A133" s="246" t="s">
        <v>409</v>
      </c>
      <c r="B133" s="70" t="s">
        <v>1119</v>
      </c>
      <c r="C133" s="176">
        <v>0</v>
      </c>
      <c r="D133" s="176">
        <v>0</v>
      </c>
      <c r="E133" s="176">
        <v>0.04</v>
      </c>
      <c r="F133" s="162">
        <v>0</v>
      </c>
      <c r="G133" s="176">
        <v>0.02</v>
      </c>
      <c r="H133" s="162">
        <v>0</v>
      </c>
      <c r="I133" s="176">
        <v>0.06</v>
      </c>
      <c r="J133" s="162">
        <v>0</v>
      </c>
      <c r="K133" s="176">
        <v>0.06</v>
      </c>
      <c r="L133" s="176">
        <v>0</v>
      </c>
    </row>
    <row r="134" spans="1:12" x14ac:dyDescent="0.3">
      <c r="A134" s="246" t="s">
        <v>209</v>
      </c>
      <c r="B134" s="70" t="s">
        <v>1119</v>
      </c>
      <c r="C134" s="176">
        <v>0</v>
      </c>
      <c r="D134" s="176">
        <v>0</v>
      </c>
      <c r="E134" s="176">
        <v>19317.23</v>
      </c>
      <c r="F134" s="162">
        <v>0</v>
      </c>
      <c r="G134" s="162">
        <v>0</v>
      </c>
      <c r="H134" s="162">
        <v>0</v>
      </c>
      <c r="I134" s="176">
        <v>19317.23</v>
      </c>
      <c r="J134" s="162">
        <v>0</v>
      </c>
      <c r="K134" s="176">
        <v>19317.23</v>
      </c>
      <c r="L134" s="176">
        <v>0</v>
      </c>
    </row>
    <row r="135" spans="1:12" x14ac:dyDescent="0.3">
      <c r="A135" s="246" t="s">
        <v>505</v>
      </c>
      <c r="B135" s="70" t="s">
        <v>1119</v>
      </c>
      <c r="C135" s="176">
        <v>0</v>
      </c>
      <c r="D135" s="176">
        <v>0</v>
      </c>
      <c r="E135" s="176">
        <v>476.25</v>
      </c>
      <c r="F135" s="162">
        <v>0</v>
      </c>
      <c r="G135" s="176">
        <v>9</v>
      </c>
      <c r="H135" s="162">
        <v>0</v>
      </c>
      <c r="I135" s="176">
        <v>485.25</v>
      </c>
      <c r="J135" s="162">
        <v>0</v>
      </c>
      <c r="K135" s="176">
        <v>485.25</v>
      </c>
      <c r="L135" s="176">
        <v>0</v>
      </c>
    </row>
    <row r="136" spans="1:12" x14ac:dyDescent="0.3">
      <c r="A136" s="246" t="s">
        <v>1010</v>
      </c>
      <c r="B136" s="70" t="s">
        <v>668</v>
      </c>
      <c r="C136" s="176">
        <v>0</v>
      </c>
      <c r="D136" s="176">
        <v>0</v>
      </c>
      <c r="E136" s="176">
        <v>254038.5</v>
      </c>
      <c r="F136" s="162">
        <v>0</v>
      </c>
      <c r="G136" s="176">
        <v>26646.22</v>
      </c>
      <c r="H136" s="162">
        <v>0</v>
      </c>
      <c r="I136" s="176">
        <v>280684.71999999997</v>
      </c>
      <c r="J136" s="162">
        <v>0</v>
      </c>
      <c r="K136" s="176">
        <v>280684.71999999997</v>
      </c>
      <c r="L136" s="176">
        <v>0</v>
      </c>
    </row>
    <row r="137" spans="1:12" x14ac:dyDescent="0.3">
      <c r="A137" s="246" t="s">
        <v>75</v>
      </c>
      <c r="B137" s="70" t="s">
        <v>665</v>
      </c>
      <c r="C137" s="176">
        <v>0</v>
      </c>
      <c r="D137" s="176">
        <v>0</v>
      </c>
      <c r="E137" s="176">
        <v>364.97</v>
      </c>
      <c r="F137" s="162">
        <v>0</v>
      </c>
      <c r="G137" s="176">
        <v>0.82</v>
      </c>
      <c r="H137" s="162">
        <v>0</v>
      </c>
      <c r="I137" s="176">
        <v>365.79</v>
      </c>
      <c r="J137" s="162">
        <v>0</v>
      </c>
      <c r="K137" s="176">
        <v>365.79</v>
      </c>
      <c r="L137" s="176">
        <v>0</v>
      </c>
    </row>
    <row r="138" spans="1:12" x14ac:dyDescent="0.3">
      <c r="A138" s="246" t="s">
        <v>722</v>
      </c>
      <c r="B138" s="70" t="s">
        <v>313</v>
      </c>
      <c r="C138" s="176">
        <v>0</v>
      </c>
      <c r="D138" s="176">
        <v>0</v>
      </c>
      <c r="E138" s="176">
        <v>117.1</v>
      </c>
      <c r="F138" s="162">
        <v>0</v>
      </c>
      <c r="G138" s="176">
        <v>-0.08</v>
      </c>
      <c r="H138" s="162">
        <v>0</v>
      </c>
      <c r="I138" s="176">
        <v>117.02</v>
      </c>
      <c r="J138" s="162">
        <v>0</v>
      </c>
      <c r="K138" s="176">
        <v>117.02</v>
      </c>
      <c r="L138" s="176">
        <v>0</v>
      </c>
    </row>
    <row r="139" spans="1:12" x14ac:dyDescent="0.3">
      <c r="A139" s="246" t="s">
        <v>486</v>
      </c>
      <c r="B139" s="70" t="s">
        <v>831</v>
      </c>
      <c r="C139" s="176">
        <v>0</v>
      </c>
      <c r="D139" s="176">
        <v>0</v>
      </c>
      <c r="E139" s="176">
        <v>22261.77</v>
      </c>
      <c r="F139" s="162">
        <v>0</v>
      </c>
      <c r="G139" s="176">
        <v>23190.799999999999</v>
      </c>
      <c r="H139" s="162">
        <v>0</v>
      </c>
      <c r="I139" s="176">
        <v>45452.57</v>
      </c>
      <c r="J139" s="162">
        <v>0</v>
      </c>
      <c r="K139" s="176">
        <v>45452.57</v>
      </c>
      <c r="L139" s="176">
        <v>0</v>
      </c>
    </row>
    <row r="140" spans="1:12" x14ac:dyDescent="0.3">
      <c r="A140" s="246" t="s">
        <v>382</v>
      </c>
      <c r="B140" s="70" t="s">
        <v>863</v>
      </c>
      <c r="C140" s="176">
        <v>0</v>
      </c>
      <c r="D140" s="176">
        <v>0</v>
      </c>
      <c r="E140" s="176">
        <v>21815</v>
      </c>
      <c r="F140" s="162">
        <v>0</v>
      </c>
      <c r="G140" s="176">
        <v>956.43</v>
      </c>
      <c r="H140" s="162">
        <v>0</v>
      </c>
      <c r="I140" s="176">
        <v>22771.43</v>
      </c>
      <c r="J140" s="162">
        <v>0</v>
      </c>
      <c r="K140" s="176">
        <v>22771.43</v>
      </c>
      <c r="L140" s="176">
        <v>0</v>
      </c>
    </row>
    <row r="141" spans="1:12" x14ac:dyDescent="0.3">
      <c r="A141" s="246" t="s">
        <v>413</v>
      </c>
      <c r="B141" s="70" t="s">
        <v>863</v>
      </c>
      <c r="C141" s="176">
        <v>0</v>
      </c>
      <c r="D141" s="176">
        <v>0</v>
      </c>
      <c r="E141" s="176">
        <v>8642.48</v>
      </c>
      <c r="F141" s="162">
        <v>0</v>
      </c>
      <c r="G141" s="176">
        <v>191.28</v>
      </c>
      <c r="H141" s="162">
        <v>0</v>
      </c>
      <c r="I141" s="176">
        <v>8833.76</v>
      </c>
      <c r="J141" s="162">
        <v>0</v>
      </c>
      <c r="K141" s="176">
        <v>8833.76</v>
      </c>
      <c r="L141" s="176">
        <v>0</v>
      </c>
    </row>
    <row r="142" spans="1:12" x14ac:dyDescent="0.3">
      <c r="A142" s="246" t="s">
        <v>1172</v>
      </c>
      <c r="B142" s="70" t="s">
        <v>1059</v>
      </c>
      <c r="C142" s="176">
        <v>0</v>
      </c>
      <c r="D142" s="176">
        <v>0</v>
      </c>
      <c r="E142" s="176">
        <v>1.48</v>
      </c>
      <c r="F142" s="162">
        <v>0</v>
      </c>
      <c r="G142" s="176">
        <v>13043.83</v>
      </c>
      <c r="H142" s="162">
        <v>0</v>
      </c>
      <c r="I142" s="176">
        <v>13045.31</v>
      </c>
      <c r="J142" s="162">
        <v>0</v>
      </c>
      <c r="K142" s="176">
        <v>13045.31</v>
      </c>
      <c r="L142" s="176">
        <v>0</v>
      </c>
    </row>
    <row r="143" spans="1:12" x14ac:dyDescent="0.3">
      <c r="A143" s="246" t="s">
        <v>288</v>
      </c>
      <c r="B143" s="70" t="s">
        <v>537</v>
      </c>
      <c r="C143" s="176">
        <v>0</v>
      </c>
      <c r="D143" s="176">
        <v>0</v>
      </c>
      <c r="E143" s="176">
        <v>26.39</v>
      </c>
      <c r="F143" s="162">
        <v>0</v>
      </c>
      <c r="G143" s="176">
        <v>5.88</v>
      </c>
      <c r="H143" s="162">
        <v>0</v>
      </c>
      <c r="I143" s="176">
        <v>32.270000000000003</v>
      </c>
      <c r="J143" s="162">
        <v>0</v>
      </c>
      <c r="K143" s="176">
        <v>32.270000000000003</v>
      </c>
      <c r="L143" s="176">
        <v>0</v>
      </c>
    </row>
    <row r="144" spans="1:12" x14ac:dyDescent="0.3">
      <c r="A144" s="246" t="s">
        <v>757</v>
      </c>
      <c r="B144" s="70" t="s">
        <v>302</v>
      </c>
      <c r="C144" s="176">
        <v>0</v>
      </c>
      <c r="D144" s="176">
        <v>0</v>
      </c>
      <c r="E144" s="162">
        <v>0</v>
      </c>
      <c r="F144" s="162">
        <v>0</v>
      </c>
      <c r="G144" s="162">
        <v>0</v>
      </c>
      <c r="H144" s="176">
        <v>0</v>
      </c>
      <c r="I144" s="162">
        <v>0</v>
      </c>
      <c r="J144" s="176">
        <v>0</v>
      </c>
      <c r="K144" s="176">
        <v>0</v>
      </c>
      <c r="L144" s="176">
        <v>0</v>
      </c>
    </row>
    <row r="145" spans="1:12" x14ac:dyDescent="0.3">
      <c r="A145" s="246" t="s">
        <v>145</v>
      </c>
      <c r="B145" s="70" t="s">
        <v>302</v>
      </c>
      <c r="C145" s="162">
        <v>0</v>
      </c>
      <c r="D145" s="162">
        <v>0</v>
      </c>
      <c r="E145" s="162">
        <v>0</v>
      </c>
      <c r="F145" s="162">
        <v>0</v>
      </c>
      <c r="G145" s="162">
        <v>0</v>
      </c>
      <c r="H145" s="176">
        <v>3441</v>
      </c>
      <c r="I145" s="162">
        <v>0</v>
      </c>
      <c r="J145" s="176">
        <v>3441</v>
      </c>
      <c r="K145" s="176">
        <v>0</v>
      </c>
      <c r="L145" s="176">
        <v>3441</v>
      </c>
    </row>
    <row r="146" spans="1:12" x14ac:dyDescent="0.3">
      <c r="A146" s="246" t="s">
        <v>686</v>
      </c>
      <c r="B146" s="70" t="s">
        <v>703</v>
      </c>
      <c r="C146" s="176">
        <v>0</v>
      </c>
      <c r="D146" s="176">
        <v>0</v>
      </c>
      <c r="E146" s="162">
        <v>0</v>
      </c>
      <c r="F146" s="162">
        <v>0</v>
      </c>
      <c r="G146" s="162">
        <v>0</v>
      </c>
      <c r="H146" s="176">
        <v>0</v>
      </c>
      <c r="I146" s="162">
        <v>0</v>
      </c>
      <c r="J146" s="176">
        <v>0</v>
      </c>
      <c r="K146" s="176">
        <v>0</v>
      </c>
      <c r="L146" s="176">
        <v>0</v>
      </c>
    </row>
    <row r="147" spans="1:12" x14ac:dyDescent="0.3">
      <c r="A147" s="246" t="s">
        <v>210</v>
      </c>
      <c r="B147" s="70" t="s">
        <v>703</v>
      </c>
      <c r="C147" s="176">
        <v>0</v>
      </c>
      <c r="D147" s="176">
        <v>0</v>
      </c>
      <c r="E147" s="162">
        <v>0</v>
      </c>
      <c r="F147" s="176">
        <v>8237115.4699999997</v>
      </c>
      <c r="G147" s="176">
        <v>0</v>
      </c>
      <c r="H147" s="176">
        <v>2094165.07</v>
      </c>
      <c r="I147" s="176">
        <v>0</v>
      </c>
      <c r="J147" s="176">
        <v>10331280.539999999</v>
      </c>
      <c r="K147" s="176">
        <v>0</v>
      </c>
      <c r="L147" s="176">
        <v>10331280.539999999</v>
      </c>
    </row>
    <row r="148" spans="1:12" x14ac:dyDescent="0.3">
      <c r="A148" s="246" t="s">
        <v>397</v>
      </c>
      <c r="B148" s="70" t="s">
        <v>1072</v>
      </c>
      <c r="C148" s="176">
        <v>0</v>
      </c>
      <c r="D148" s="176">
        <v>0</v>
      </c>
      <c r="E148" s="162">
        <v>0</v>
      </c>
      <c r="F148" s="176">
        <v>2655022.5099999998</v>
      </c>
      <c r="G148" s="162">
        <v>0</v>
      </c>
      <c r="H148" s="176">
        <v>0</v>
      </c>
      <c r="I148" s="162">
        <v>0</v>
      </c>
      <c r="J148" s="176">
        <v>2655022.5099999998</v>
      </c>
      <c r="K148" s="176">
        <v>0</v>
      </c>
      <c r="L148" s="176">
        <v>2655022.5099999998</v>
      </c>
    </row>
    <row r="149" spans="1:12" x14ac:dyDescent="0.3">
      <c r="A149" s="246" t="s">
        <v>1033</v>
      </c>
      <c r="B149" s="70" t="s">
        <v>1247</v>
      </c>
      <c r="C149" s="176">
        <v>0</v>
      </c>
      <c r="D149" s="176">
        <v>0</v>
      </c>
      <c r="E149" s="162">
        <v>0</v>
      </c>
      <c r="F149" s="162">
        <v>0</v>
      </c>
      <c r="G149" s="162">
        <v>0</v>
      </c>
      <c r="H149" s="176">
        <v>2367.9499999999998</v>
      </c>
      <c r="I149" s="162">
        <v>0</v>
      </c>
      <c r="J149" s="176">
        <v>2367.9499999999998</v>
      </c>
      <c r="K149" s="176">
        <v>0</v>
      </c>
      <c r="L149" s="176">
        <v>2367.9499999999998</v>
      </c>
    </row>
    <row r="150" spans="1:12" x14ac:dyDescent="0.3">
      <c r="A150" s="246" t="s">
        <v>66</v>
      </c>
      <c r="B150" s="70" t="s">
        <v>102</v>
      </c>
      <c r="C150" s="176">
        <v>0</v>
      </c>
      <c r="D150" s="176">
        <v>0</v>
      </c>
      <c r="E150" s="162">
        <v>0</v>
      </c>
      <c r="F150" s="162">
        <v>0</v>
      </c>
      <c r="G150" s="162">
        <v>0</v>
      </c>
      <c r="H150" s="176">
        <v>0</v>
      </c>
      <c r="I150" s="162">
        <v>0</v>
      </c>
      <c r="J150" s="176">
        <v>0</v>
      </c>
      <c r="K150" s="176">
        <v>0</v>
      </c>
      <c r="L150" s="176">
        <v>0</v>
      </c>
    </row>
    <row r="151" spans="1:12" x14ac:dyDescent="0.3">
      <c r="A151" s="246" t="s">
        <v>12</v>
      </c>
      <c r="B151" s="70" t="s">
        <v>102</v>
      </c>
      <c r="C151" s="176">
        <v>0</v>
      </c>
      <c r="D151" s="176">
        <v>0</v>
      </c>
      <c r="E151" s="162">
        <v>0</v>
      </c>
      <c r="F151" s="176">
        <v>35034.339999999997</v>
      </c>
      <c r="G151" s="162">
        <v>0</v>
      </c>
      <c r="H151" s="162">
        <v>0</v>
      </c>
      <c r="I151" s="162">
        <v>0</v>
      </c>
      <c r="J151" s="176">
        <v>35034.339999999997</v>
      </c>
      <c r="K151" s="176">
        <v>0</v>
      </c>
      <c r="L151" s="176">
        <v>35034.339999999997</v>
      </c>
    </row>
    <row r="152" spans="1:12" x14ac:dyDescent="0.3">
      <c r="A152" s="246" t="s">
        <v>1317</v>
      </c>
      <c r="B152" s="70" t="s">
        <v>669</v>
      </c>
      <c r="C152" s="176">
        <v>0</v>
      </c>
      <c r="D152" s="176">
        <v>0</v>
      </c>
      <c r="E152" s="162">
        <v>0</v>
      </c>
      <c r="F152" s="162">
        <v>0</v>
      </c>
      <c r="G152" s="162">
        <v>0</v>
      </c>
      <c r="H152" s="176">
        <v>9641.83</v>
      </c>
      <c r="I152" s="162">
        <v>0</v>
      </c>
      <c r="J152" s="176">
        <v>9641.83</v>
      </c>
      <c r="K152" s="176">
        <v>0</v>
      </c>
      <c r="L152" s="176">
        <v>9641.83</v>
      </c>
    </row>
    <row r="153" spans="1:12" x14ac:dyDescent="0.3">
      <c r="A153" s="246" t="s">
        <v>685</v>
      </c>
      <c r="B153" s="70" t="s">
        <v>665</v>
      </c>
      <c r="C153" s="176">
        <v>0</v>
      </c>
      <c r="D153" s="176">
        <v>0</v>
      </c>
      <c r="E153" s="162">
        <v>0</v>
      </c>
      <c r="F153" s="176">
        <v>152.37</v>
      </c>
      <c r="G153" s="162">
        <v>0</v>
      </c>
      <c r="H153" s="176">
        <v>31</v>
      </c>
      <c r="I153" s="162">
        <v>0</v>
      </c>
      <c r="J153" s="176">
        <v>183.37</v>
      </c>
      <c r="K153" s="176">
        <v>0</v>
      </c>
      <c r="L153" s="176">
        <v>183.37</v>
      </c>
    </row>
    <row r="154" spans="1:12" x14ac:dyDescent="0.3">
      <c r="A154" s="246" t="s">
        <v>611</v>
      </c>
      <c r="B154" s="70" t="s">
        <v>955</v>
      </c>
      <c r="C154" s="176">
        <v>0</v>
      </c>
      <c r="D154" s="176">
        <v>0</v>
      </c>
      <c r="E154" s="162">
        <v>0</v>
      </c>
      <c r="F154" s="176">
        <v>8219.7999999999993</v>
      </c>
      <c r="G154" s="162">
        <v>0</v>
      </c>
      <c r="H154" s="176">
        <v>2515.75</v>
      </c>
      <c r="I154" s="162">
        <v>0</v>
      </c>
      <c r="J154" s="176">
        <v>10735.55</v>
      </c>
      <c r="K154" s="176">
        <v>0</v>
      </c>
      <c r="L154" s="176">
        <v>10735.55</v>
      </c>
    </row>
    <row r="155" spans="1:12" x14ac:dyDescent="0.3">
      <c r="A155" s="246" t="s">
        <v>229</v>
      </c>
      <c r="B155" s="70" t="s">
        <v>638</v>
      </c>
      <c r="C155" s="176">
        <v>0</v>
      </c>
      <c r="D155" s="176">
        <v>0</v>
      </c>
      <c r="E155" s="162">
        <v>0</v>
      </c>
      <c r="F155" s="176">
        <v>3411.6</v>
      </c>
      <c r="G155" s="162">
        <v>0</v>
      </c>
      <c r="H155" s="176">
        <v>9229.66</v>
      </c>
      <c r="I155" s="162">
        <v>0</v>
      </c>
      <c r="J155" s="176">
        <v>12641.26</v>
      </c>
      <c r="K155" s="176">
        <v>0</v>
      </c>
      <c r="L155" s="176">
        <v>12641.26</v>
      </c>
    </row>
    <row r="156" spans="1:12" x14ac:dyDescent="0.3">
      <c r="A156" s="246" t="s">
        <v>327</v>
      </c>
      <c r="B156" s="70" t="s">
        <v>779</v>
      </c>
      <c r="C156" s="176">
        <v>0</v>
      </c>
      <c r="D156" s="176">
        <v>0</v>
      </c>
      <c r="E156" s="162">
        <v>0</v>
      </c>
      <c r="F156" s="162">
        <v>0</v>
      </c>
      <c r="G156" s="162">
        <v>0</v>
      </c>
      <c r="H156" s="162">
        <v>0</v>
      </c>
      <c r="I156" s="176">
        <v>9195812.6699999999</v>
      </c>
      <c r="J156" s="176">
        <v>9195812.6699999999</v>
      </c>
      <c r="K156" s="176">
        <v>0</v>
      </c>
      <c r="L156" s="176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zoomScaleNormal="100" zoomScaleSheetLayoutView="100" workbookViewId="0"/>
  </sheetViews>
  <sheetFormatPr defaultColWidth="9.109375" defaultRowHeight="14.4" x14ac:dyDescent="0.3"/>
  <cols>
    <col min="1" max="1" width="16.109375" style="58" customWidth="1"/>
    <col min="2" max="2" width="46.6640625" style="2" customWidth="1"/>
    <col min="3" max="4" width="15.33203125" style="236" customWidth="1"/>
    <col min="5" max="5" width="15.109375" style="236" customWidth="1"/>
    <col min="6" max="11" width="15.33203125" style="236" customWidth="1"/>
    <col min="12" max="12" width="14.88671875" style="236" customWidth="1"/>
    <col min="13" max="16384" width="9.109375" style="112"/>
  </cols>
  <sheetData>
    <row r="1" spans="1:12" ht="20.399999999999999" x14ac:dyDescent="0.3">
      <c r="A1" s="51" t="s">
        <v>401</v>
      </c>
      <c r="B1" s="11" t="s">
        <v>1269</v>
      </c>
      <c r="C1" s="157" t="s">
        <v>802</v>
      </c>
      <c r="D1" s="157" t="s">
        <v>1002</v>
      </c>
      <c r="E1" s="157" t="s">
        <v>435</v>
      </c>
      <c r="F1" s="157" t="s">
        <v>765</v>
      </c>
      <c r="G1" s="157" t="s">
        <v>381</v>
      </c>
      <c r="H1" s="157" t="s">
        <v>700</v>
      </c>
      <c r="I1" s="157" t="s">
        <v>727</v>
      </c>
      <c r="J1" s="157" t="s">
        <v>702</v>
      </c>
      <c r="K1" s="157" t="s">
        <v>1046</v>
      </c>
      <c r="L1" s="157" t="s">
        <v>196</v>
      </c>
    </row>
    <row r="2" spans="1:12" x14ac:dyDescent="0.3">
      <c r="A2" s="221" t="s">
        <v>152</v>
      </c>
      <c r="B2" s="103" t="s">
        <v>732</v>
      </c>
      <c r="C2" s="144">
        <v>32419.8</v>
      </c>
      <c r="D2" s="144">
        <v>0</v>
      </c>
      <c r="E2" s="144">
        <v>13000</v>
      </c>
      <c r="F2" s="144">
        <v>0</v>
      </c>
      <c r="G2" s="144">
        <v>0</v>
      </c>
      <c r="H2" s="144">
        <v>0</v>
      </c>
      <c r="I2" s="144">
        <v>13000</v>
      </c>
      <c r="J2" s="144">
        <v>0</v>
      </c>
      <c r="K2" s="144">
        <v>45419.8</v>
      </c>
      <c r="L2" s="144">
        <v>0</v>
      </c>
    </row>
    <row r="3" spans="1:12" x14ac:dyDescent="0.3">
      <c r="A3" s="221" t="s">
        <v>11</v>
      </c>
      <c r="B3" s="103" t="s">
        <v>515</v>
      </c>
      <c r="C3" s="144">
        <v>1323885.77</v>
      </c>
      <c r="D3" s="144">
        <v>0</v>
      </c>
      <c r="E3" s="144">
        <v>0</v>
      </c>
      <c r="F3" s="144">
        <v>0</v>
      </c>
      <c r="G3" s="144">
        <v>0</v>
      </c>
      <c r="H3" s="144">
        <v>0</v>
      </c>
      <c r="I3" s="144">
        <v>0</v>
      </c>
      <c r="J3" s="144">
        <v>0</v>
      </c>
      <c r="K3" s="144">
        <v>1323885.77</v>
      </c>
      <c r="L3" s="144">
        <v>0</v>
      </c>
    </row>
    <row r="4" spans="1:12" x14ac:dyDescent="0.3">
      <c r="A4" s="221" t="s">
        <v>978</v>
      </c>
      <c r="B4" s="103" t="s">
        <v>947</v>
      </c>
      <c r="C4" s="144">
        <v>3100732.57</v>
      </c>
      <c r="D4" s="144">
        <v>0</v>
      </c>
      <c r="E4" s="144">
        <v>404622.19</v>
      </c>
      <c r="F4" s="144">
        <v>0</v>
      </c>
      <c r="G4" s="144">
        <v>0</v>
      </c>
      <c r="H4" s="144">
        <v>0</v>
      </c>
      <c r="I4" s="144">
        <v>404622.19</v>
      </c>
      <c r="J4" s="144">
        <v>0</v>
      </c>
      <c r="K4" s="144">
        <v>3505354.76</v>
      </c>
      <c r="L4" s="144">
        <v>0</v>
      </c>
    </row>
    <row r="5" spans="1:12" x14ac:dyDescent="0.3">
      <c r="A5" s="221" t="s">
        <v>1175</v>
      </c>
      <c r="B5" s="103" t="s">
        <v>1070</v>
      </c>
      <c r="C5" s="144">
        <v>99914.42</v>
      </c>
      <c r="D5" s="144">
        <v>0</v>
      </c>
      <c r="E5" s="144">
        <v>0</v>
      </c>
      <c r="F5" s="144">
        <v>0</v>
      </c>
      <c r="G5" s="144">
        <v>0</v>
      </c>
      <c r="H5" s="144">
        <v>0</v>
      </c>
      <c r="I5" s="144">
        <v>0</v>
      </c>
      <c r="J5" s="144">
        <v>0</v>
      </c>
      <c r="K5" s="144">
        <v>99914.42</v>
      </c>
      <c r="L5" s="144">
        <v>0</v>
      </c>
    </row>
    <row r="6" spans="1:12" x14ac:dyDescent="0.3">
      <c r="A6" s="221" t="s">
        <v>242</v>
      </c>
      <c r="B6" s="103" t="s">
        <v>783</v>
      </c>
      <c r="C6" s="144">
        <v>0</v>
      </c>
      <c r="D6" s="144">
        <v>0</v>
      </c>
      <c r="E6" s="144">
        <v>13000</v>
      </c>
      <c r="F6" s="144">
        <v>13000</v>
      </c>
      <c r="G6" s="144">
        <v>0</v>
      </c>
      <c r="H6" s="144">
        <v>0</v>
      </c>
      <c r="I6" s="144">
        <v>13000</v>
      </c>
      <c r="J6" s="144">
        <v>13000</v>
      </c>
      <c r="K6" s="144">
        <v>0</v>
      </c>
      <c r="L6" s="144">
        <v>0</v>
      </c>
    </row>
    <row r="7" spans="1:12" x14ac:dyDescent="0.3">
      <c r="A7" s="221" t="s">
        <v>657</v>
      </c>
      <c r="B7" s="103" t="s">
        <v>1032</v>
      </c>
      <c r="C7" s="144">
        <v>174871.74</v>
      </c>
      <c r="D7" s="144">
        <v>0</v>
      </c>
      <c r="E7" s="144">
        <v>543864.68999999994</v>
      </c>
      <c r="F7" s="144">
        <v>404622.19</v>
      </c>
      <c r="G7" s="144">
        <v>191660.73</v>
      </c>
      <c r="H7" s="144">
        <v>0</v>
      </c>
      <c r="I7" s="144">
        <v>735525.42</v>
      </c>
      <c r="J7" s="144">
        <v>404622.19</v>
      </c>
      <c r="K7" s="144">
        <v>505774.97</v>
      </c>
      <c r="L7" s="144">
        <v>0</v>
      </c>
    </row>
    <row r="8" spans="1:12" x14ac:dyDescent="0.3">
      <c r="A8" s="221" t="s">
        <v>688</v>
      </c>
      <c r="B8" s="103" t="s">
        <v>1320</v>
      </c>
      <c r="C8" s="144">
        <v>0</v>
      </c>
      <c r="D8" s="144">
        <v>14157.73</v>
      </c>
      <c r="E8" s="144">
        <v>0</v>
      </c>
      <c r="F8" s="144">
        <v>8401</v>
      </c>
      <c r="G8" s="144">
        <v>0</v>
      </c>
      <c r="H8" s="144">
        <v>808</v>
      </c>
      <c r="I8" s="144">
        <v>0</v>
      </c>
      <c r="J8" s="144">
        <v>9209</v>
      </c>
      <c r="K8" s="144">
        <v>0</v>
      </c>
      <c r="L8" s="144">
        <v>23366.73</v>
      </c>
    </row>
    <row r="9" spans="1:12" x14ac:dyDescent="0.3">
      <c r="A9" s="221" t="s">
        <v>806</v>
      </c>
      <c r="B9" s="103" t="s">
        <v>110</v>
      </c>
      <c r="C9" s="144">
        <v>0</v>
      </c>
      <c r="D9" s="144">
        <v>635952</v>
      </c>
      <c r="E9" s="144">
        <v>0</v>
      </c>
      <c r="F9" s="144">
        <v>79585</v>
      </c>
      <c r="G9" s="144">
        <v>0</v>
      </c>
      <c r="H9" s="144">
        <v>7234</v>
      </c>
      <c r="I9" s="144">
        <v>0</v>
      </c>
      <c r="J9" s="144">
        <v>86819</v>
      </c>
      <c r="K9" s="144">
        <v>0</v>
      </c>
      <c r="L9" s="144">
        <v>722771</v>
      </c>
    </row>
    <row r="10" spans="1:12" x14ac:dyDescent="0.3">
      <c r="A10" s="221" t="s">
        <v>1225</v>
      </c>
      <c r="B10" s="103" t="s">
        <v>855</v>
      </c>
      <c r="C10" s="144">
        <v>0</v>
      </c>
      <c r="D10" s="144">
        <v>2701510.83</v>
      </c>
      <c r="E10" s="144">
        <v>0</v>
      </c>
      <c r="F10" s="144">
        <v>166052.5</v>
      </c>
      <c r="G10" s="144">
        <v>0</v>
      </c>
      <c r="H10" s="144">
        <v>18604.22</v>
      </c>
      <c r="I10" s="144">
        <v>0</v>
      </c>
      <c r="J10" s="144">
        <v>184656.72</v>
      </c>
      <c r="K10" s="144">
        <v>0</v>
      </c>
      <c r="L10" s="144">
        <v>2886167.55</v>
      </c>
    </row>
    <row r="11" spans="1:12" x14ac:dyDescent="0.3">
      <c r="A11" s="221" t="s">
        <v>914</v>
      </c>
      <c r="B11" s="103" t="s">
        <v>923</v>
      </c>
      <c r="C11" s="144">
        <v>0</v>
      </c>
      <c r="D11" s="144">
        <v>0</v>
      </c>
      <c r="E11" s="144">
        <v>5967259.2199999997</v>
      </c>
      <c r="F11" s="144">
        <v>5967255.0300000003</v>
      </c>
      <c r="G11" s="144">
        <v>278073.81</v>
      </c>
      <c r="H11" s="144">
        <v>278078</v>
      </c>
      <c r="I11" s="144">
        <v>6245333.0300000003</v>
      </c>
      <c r="J11" s="144">
        <v>6245333.0300000003</v>
      </c>
      <c r="K11" s="144">
        <v>0</v>
      </c>
      <c r="L11" s="144">
        <v>0</v>
      </c>
    </row>
    <row r="12" spans="1:12" x14ac:dyDescent="0.3">
      <c r="A12" s="221" t="s">
        <v>795</v>
      </c>
      <c r="B12" s="103" t="s">
        <v>1088</v>
      </c>
      <c r="C12" s="144">
        <v>294307.12</v>
      </c>
      <c r="D12" s="144">
        <v>0</v>
      </c>
      <c r="E12" s="144">
        <v>5967255.0300000003</v>
      </c>
      <c r="F12" s="144">
        <v>5296949.5199999996</v>
      </c>
      <c r="G12" s="144">
        <v>281273.90999999997</v>
      </c>
      <c r="H12" s="144">
        <v>1050180.92</v>
      </c>
      <c r="I12" s="144">
        <v>6248528.9400000004</v>
      </c>
      <c r="J12" s="144">
        <v>6347130.4400000004</v>
      </c>
      <c r="K12" s="144">
        <v>195705.62</v>
      </c>
      <c r="L12" s="144">
        <v>0</v>
      </c>
    </row>
    <row r="13" spans="1:12" x14ac:dyDescent="0.3">
      <c r="A13" s="221" t="s">
        <v>153</v>
      </c>
      <c r="B13" s="103" t="s">
        <v>237</v>
      </c>
      <c r="C13" s="144">
        <v>68027.42</v>
      </c>
      <c r="D13" s="144">
        <v>0</v>
      </c>
      <c r="E13" s="144">
        <v>520600.61</v>
      </c>
      <c r="F13" s="144">
        <v>286058.51</v>
      </c>
      <c r="G13" s="144">
        <v>104478.36</v>
      </c>
      <c r="H13" s="144">
        <v>21896.51</v>
      </c>
      <c r="I13" s="144">
        <v>625078.97</v>
      </c>
      <c r="J13" s="144">
        <v>307955.02</v>
      </c>
      <c r="K13" s="144">
        <v>385151.37</v>
      </c>
      <c r="L13" s="144">
        <v>0</v>
      </c>
    </row>
    <row r="14" spans="1:12" x14ac:dyDescent="0.3">
      <c r="A14" s="221" t="s">
        <v>1074</v>
      </c>
      <c r="B14" s="103" t="s">
        <v>189</v>
      </c>
      <c r="C14" s="144">
        <v>1908</v>
      </c>
      <c r="D14" s="144">
        <v>0</v>
      </c>
      <c r="E14" s="144">
        <v>13157.68</v>
      </c>
      <c r="F14" s="144">
        <v>16670.22</v>
      </c>
      <c r="G14" s="144">
        <v>5006.34</v>
      </c>
      <c r="H14" s="144">
        <v>1925.4</v>
      </c>
      <c r="I14" s="144">
        <v>18164.02</v>
      </c>
      <c r="J14" s="144">
        <v>18595.62</v>
      </c>
      <c r="K14" s="144">
        <v>1476.4</v>
      </c>
      <c r="L14" s="144">
        <v>0</v>
      </c>
    </row>
    <row r="15" spans="1:12" x14ac:dyDescent="0.3">
      <c r="A15" s="221" t="s">
        <v>684</v>
      </c>
      <c r="B15" s="103" t="s">
        <v>660</v>
      </c>
      <c r="C15" s="144">
        <v>1368497.14</v>
      </c>
      <c r="D15" s="144">
        <v>0</v>
      </c>
      <c r="E15" s="144">
        <v>11262220.43</v>
      </c>
      <c r="F15" s="144">
        <v>12314719.99</v>
      </c>
      <c r="G15" s="144">
        <v>3036185.42</v>
      </c>
      <c r="H15" s="144">
        <v>1875990.35</v>
      </c>
      <c r="I15" s="144">
        <v>14298405.85</v>
      </c>
      <c r="J15" s="144">
        <v>14190710.34</v>
      </c>
      <c r="K15" s="144">
        <v>1476192.65</v>
      </c>
      <c r="L15" s="144">
        <v>0</v>
      </c>
    </row>
    <row r="16" spans="1:12" x14ac:dyDescent="0.3">
      <c r="A16" s="221" t="s">
        <v>595</v>
      </c>
      <c r="B16" s="103" t="s">
        <v>549</v>
      </c>
      <c r="C16" s="144">
        <v>0</v>
      </c>
      <c r="D16" s="144">
        <v>0</v>
      </c>
      <c r="E16" s="144">
        <v>1833383.19</v>
      </c>
      <c r="F16" s="144">
        <v>1833383.19</v>
      </c>
      <c r="G16" s="144">
        <v>483202.27</v>
      </c>
      <c r="H16" s="144">
        <v>483202.27</v>
      </c>
      <c r="I16" s="144">
        <v>2316585.46</v>
      </c>
      <c r="J16" s="144">
        <v>2316585.46</v>
      </c>
      <c r="K16" s="144">
        <v>0</v>
      </c>
      <c r="L16" s="144">
        <v>0</v>
      </c>
    </row>
    <row r="17" spans="1:12" x14ac:dyDescent="0.3">
      <c r="A17" s="221" t="s">
        <v>1098</v>
      </c>
      <c r="B17" s="103" t="s">
        <v>450</v>
      </c>
      <c r="C17" s="144">
        <v>2166987.3199999998</v>
      </c>
      <c r="D17" s="144">
        <v>0</v>
      </c>
      <c r="E17" s="144">
        <v>12348145.810000001</v>
      </c>
      <c r="F17" s="144">
        <v>10107759.869999999</v>
      </c>
      <c r="G17" s="144">
        <v>776479.21</v>
      </c>
      <c r="H17" s="144">
        <v>2767087.31</v>
      </c>
      <c r="I17" s="144">
        <v>13124625.02</v>
      </c>
      <c r="J17" s="144">
        <v>12874847.18</v>
      </c>
      <c r="K17" s="144">
        <v>2416765.16</v>
      </c>
      <c r="L17" s="144">
        <v>0</v>
      </c>
    </row>
    <row r="18" spans="1:12" x14ac:dyDescent="0.3">
      <c r="A18" s="221" t="s">
        <v>1330</v>
      </c>
      <c r="B18" s="103" t="s">
        <v>105</v>
      </c>
      <c r="C18" s="144">
        <v>4489.3599999999997</v>
      </c>
      <c r="D18" s="144">
        <v>0</v>
      </c>
      <c r="E18" s="144">
        <v>103064.78</v>
      </c>
      <c r="F18" s="144">
        <v>95221.36</v>
      </c>
      <c r="G18" s="144">
        <v>-6243.35</v>
      </c>
      <c r="H18" s="144">
        <v>1429.24</v>
      </c>
      <c r="I18" s="144">
        <v>96821.43</v>
      </c>
      <c r="J18" s="144">
        <v>96650.6</v>
      </c>
      <c r="K18" s="144">
        <v>4660.1899999999996</v>
      </c>
      <c r="L18" s="144">
        <v>0</v>
      </c>
    </row>
    <row r="19" spans="1:12" x14ac:dyDescent="0.3">
      <c r="A19" s="221" t="s">
        <v>284</v>
      </c>
      <c r="B19" s="103" t="s">
        <v>370</v>
      </c>
      <c r="C19" s="144">
        <v>0</v>
      </c>
      <c r="D19" s="144">
        <v>0</v>
      </c>
      <c r="E19" s="144">
        <v>66298.84</v>
      </c>
      <c r="F19" s="144">
        <v>67137.72</v>
      </c>
      <c r="G19" s="144">
        <v>7651.08</v>
      </c>
      <c r="H19" s="144">
        <v>6812.2</v>
      </c>
      <c r="I19" s="144">
        <v>73949.919999999998</v>
      </c>
      <c r="J19" s="144">
        <v>73949.919999999998</v>
      </c>
      <c r="K19" s="144">
        <v>0</v>
      </c>
      <c r="L19" s="144">
        <v>0</v>
      </c>
    </row>
    <row r="20" spans="1:12" x14ac:dyDescent="0.3">
      <c r="A20" s="221" t="s">
        <v>1151</v>
      </c>
      <c r="B20" s="103" t="s">
        <v>804</v>
      </c>
      <c r="C20" s="144">
        <v>0</v>
      </c>
      <c r="D20" s="144">
        <v>1272627.06</v>
      </c>
      <c r="E20" s="144">
        <v>9715230.3399999999</v>
      </c>
      <c r="F20" s="144">
        <v>11216170.25</v>
      </c>
      <c r="G20" s="144">
        <v>1418368.92</v>
      </c>
      <c r="H20" s="144">
        <v>2099820.52</v>
      </c>
      <c r="I20" s="144">
        <v>11133599.26</v>
      </c>
      <c r="J20" s="144">
        <v>13315990.77</v>
      </c>
      <c r="K20" s="144">
        <v>0</v>
      </c>
      <c r="L20" s="144">
        <v>3455018.57</v>
      </c>
    </row>
    <row r="21" spans="1:12" x14ac:dyDescent="0.3">
      <c r="A21" s="221" t="s">
        <v>820</v>
      </c>
      <c r="B21" s="103" t="s">
        <v>1137</v>
      </c>
      <c r="C21" s="144">
        <v>0</v>
      </c>
      <c r="D21" s="144">
        <v>33238.410000000003</v>
      </c>
      <c r="E21" s="144">
        <v>28938.41</v>
      </c>
      <c r="F21" s="144">
        <v>0</v>
      </c>
      <c r="G21" s="144">
        <v>4300</v>
      </c>
      <c r="H21" s="144">
        <v>49422.09</v>
      </c>
      <c r="I21" s="144">
        <v>33238.410000000003</v>
      </c>
      <c r="J21" s="144">
        <v>49422.09</v>
      </c>
      <c r="K21" s="144">
        <v>0</v>
      </c>
      <c r="L21" s="144">
        <v>49422.09</v>
      </c>
    </row>
    <row r="22" spans="1:12" x14ac:dyDescent="0.3">
      <c r="A22" s="221" t="s">
        <v>176</v>
      </c>
      <c r="B22" s="103" t="s">
        <v>784</v>
      </c>
      <c r="C22" s="144">
        <v>0</v>
      </c>
      <c r="D22" s="144">
        <v>0</v>
      </c>
      <c r="E22" s="144">
        <v>0</v>
      </c>
      <c r="F22" s="144">
        <v>0</v>
      </c>
      <c r="G22" s="144">
        <v>10748.28</v>
      </c>
      <c r="H22" s="144">
        <v>169.63</v>
      </c>
      <c r="I22" s="144">
        <v>10748.28</v>
      </c>
      <c r="J22" s="144">
        <v>169.63</v>
      </c>
      <c r="K22" s="144">
        <v>10578.65</v>
      </c>
      <c r="L22" s="144">
        <v>0</v>
      </c>
    </row>
    <row r="23" spans="1:12" x14ac:dyDescent="0.3">
      <c r="A23" s="221" t="s">
        <v>1285</v>
      </c>
      <c r="B23" s="103" t="s">
        <v>249</v>
      </c>
      <c r="C23" s="144">
        <v>0</v>
      </c>
      <c r="D23" s="144">
        <v>39857.96</v>
      </c>
      <c r="E23" s="144">
        <v>564881.24</v>
      </c>
      <c r="F23" s="144">
        <v>565897.15</v>
      </c>
      <c r="G23" s="144">
        <v>55749.599999999999</v>
      </c>
      <c r="H23" s="144">
        <v>61589.09</v>
      </c>
      <c r="I23" s="144">
        <v>620630.84</v>
      </c>
      <c r="J23" s="144">
        <v>627486.24</v>
      </c>
      <c r="K23" s="144">
        <v>0</v>
      </c>
      <c r="L23" s="144">
        <v>46713.36</v>
      </c>
    </row>
    <row r="24" spans="1:12" x14ac:dyDescent="0.3">
      <c r="A24" s="221" t="s">
        <v>603</v>
      </c>
      <c r="B24" s="103" t="s">
        <v>1021</v>
      </c>
      <c r="C24" s="144">
        <v>0</v>
      </c>
      <c r="D24" s="144">
        <v>23041.87</v>
      </c>
      <c r="E24" s="144">
        <v>261083.16</v>
      </c>
      <c r="F24" s="144">
        <v>263520.07</v>
      </c>
      <c r="G24" s="144">
        <v>25478.78</v>
      </c>
      <c r="H24" s="144">
        <v>29202.87</v>
      </c>
      <c r="I24" s="144">
        <v>286561.94</v>
      </c>
      <c r="J24" s="144">
        <v>292722.94</v>
      </c>
      <c r="K24" s="144">
        <v>0</v>
      </c>
      <c r="L24" s="144">
        <v>29202.87</v>
      </c>
    </row>
    <row r="25" spans="1:12" x14ac:dyDescent="0.3">
      <c r="A25" s="221" t="s">
        <v>1109</v>
      </c>
      <c r="B25" s="103" t="s">
        <v>335</v>
      </c>
      <c r="C25" s="144">
        <v>30191.91</v>
      </c>
      <c r="D25" s="144">
        <v>0</v>
      </c>
      <c r="E25" s="144">
        <v>13131.13</v>
      </c>
      <c r="F25" s="144">
        <v>29950.97</v>
      </c>
      <c r="G25" s="144">
        <v>1234.93</v>
      </c>
      <c r="H25" s="144">
        <v>13043.83</v>
      </c>
      <c r="I25" s="144">
        <v>14366.06</v>
      </c>
      <c r="J25" s="144">
        <v>42994.8</v>
      </c>
      <c r="K25" s="144">
        <v>1563.17</v>
      </c>
      <c r="L25" s="144">
        <v>0</v>
      </c>
    </row>
    <row r="26" spans="1:12" x14ac:dyDescent="0.3">
      <c r="A26" s="221" t="s">
        <v>987</v>
      </c>
      <c r="B26" s="103" t="s">
        <v>952</v>
      </c>
      <c r="C26" s="144">
        <v>0</v>
      </c>
      <c r="D26" s="144">
        <v>410.17</v>
      </c>
      <c r="E26" s="144">
        <v>50846.55</v>
      </c>
      <c r="F26" s="144">
        <v>49357.9</v>
      </c>
      <c r="G26" s="144">
        <v>1691.33</v>
      </c>
      <c r="H26" s="144">
        <v>6209.05</v>
      </c>
      <c r="I26" s="144">
        <v>52537.88</v>
      </c>
      <c r="J26" s="144">
        <v>55566.95</v>
      </c>
      <c r="K26" s="144">
        <v>0</v>
      </c>
      <c r="L26" s="144">
        <v>3439.24</v>
      </c>
    </row>
    <row r="27" spans="1:12" x14ac:dyDescent="0.3">
      <c r="A27" s="221" t="s">
        <v>298</v>
      </c>
      <c r="B27" s="103" t="s">
        <v>1150</v>
      </c>
      <c r="C27" s="144">
        <v>20367.919999999998</v>
      </c>
      <c r="D27" s="144">
        <v>0</v>
      </c>
      <c r="E27" s="144">
        <v>1985850.21</v>
      </c>
      <c r="F27" s="144">
        <v>1938716.86</v>
      </c>
      <c r="G27" s="144">
        <v>269079.27</v>
      </c>
      <c r="H27" s="144">
        <v>251138.21</v>
      </c>
      <c r="I27" s="144">
        <v>2254929.48</v>
      </c>
      <c r="J27" s="144">
        <v>2189855.0699999998</v>
      </c>
      <c r="K27" s="144">
        <v>85442.33</v>
      </c>
      <c r="L27" s="144">
        <v>0</v>
      </c>
    </row>
    <row r="28" spans="1:12" x14ac:dyDescent="0.3">
      <c r="A28" s="221" t="s">
        <v>729</v>
      </c>
      <c r="B28" s="103" t="s">
        <v>220</v>
      </c>
      <c r="C28" s="144">
        <v>0</v>
      </c>
      <c r="D28" s="144">
        <v>166.75</v>
      </c>
      <c r="E28" s="144">
        <v>12623.15</v>
      </c>
      <c r="F28" s="144">
        <v>0</v>
      </c>
      <c r="G28" s="144">
        <v>1132.4000000000001</v>
      </c>
      <c r="H28" s="144">
        <v>12553.1</v>
      </c>
      <c r="I28" s="144">
        <v>13755.55</v>
      </c>
      <c r="J28" s="144">
        <v>12553.1</v>
      </c>
      <c r="K28" s="144">
        <v>1035.7</v>
      </c>
      <c r="L28" s="144">
        <v>0</v>
      </c>
    </row>
    <row r="29" spans="1:12" x14ac:dyDescent="0.3">
      <c r="A29" s="221" t="s">
        <v>221</v>
      </c>
      <c r="B29" s="103" t="s">
        <v>262</v>
      </c>
      <c r="C29" s="144">
        <v>0</v>
      </c>
      <c r="D29" s="144">
        <v>1261854.54</v>
      </c>
      <c r="E29" s="144">
        <v>0</v>
      </c>
      <c r="F29" s="144">
        <v>57702.31</v>
      </c>
      <c r="G29" s="144">
        <v>0</v>
      </c>
      <c r="H29" s="144">
        <v>0</v>
      </c>
      <c r="I29" s="144">
        <v>0</v>
      </c>
      <c r="J29" s="144">
        <v>57702.31</v>
      </c>
      <c r="K29" s="144">
        <v>0</v>
      </c>
      <c r="L29" s="144">
        <v>1319556.8500000001</v>
      </c>
    </row>
    <row r="30" spans="1:12" x14ac:dyDescent="0.3">
      <c r="A30" s="221" t="s">
        <v>364</v>
      </c>
      <c r="B30" s="103" t="s">
        <v>1277</v>
      </c>
      <c r="C30" s="144">
        <v>11941.35</v>
      </c>
      <c r="D30" s="144">
        <v>0</v>
      </c>
      <c r="E30" s="144">
        <v>0</v>
      </c>
      <c r="F30" s="144">
        <v>0</v>
      </c>
      <c r="G30" s="144">
        <v>9641.83</v>
      </c>
      <c r="H30" s="144">
        <v>0</v>
      </c>
      <c r="I30" s="144">
        <v>9641.83</v>
      </c>
      <c r="J30" s="144">
        <v>0</v>
      </c>
      <c r="K30" s="144">
        <v>21583.18</v>
      </c>
      <c r="L30" s="144">
        <v>0</v>
      </c>
    </row>
    <row r="31" spans="1:12" x14ac:dyDescent="0.3">
      <c r="A31" s="221" t="s">
        <v>146</v>
      </c>
      <c r="B31" s="103" t="s">
        <v>913</v>
      </c>
      <c r="C31" s="144">
        <v>0</v>
      </c>
      <c r="D31" s="144">
        <v>0</v>
      </c>
      <c r="E31" s="144">
        <v>7711.45</v>
      </c>
      <c r="F31" s="144">
        <v>8004.01</v>
      </c>
      <c r="G31" s="144">
        <v>691.89</v>
      </c>
      <c r="H31" s="144">
        <v>694.89</v>
      </c>
      <c r="I31" s="144">
        <v>8403.34</v>
      </c>
      <c r="J31" s="144">
        <v>8698.9</v>
      </c>
      <c r="K31" s="144">
        <v>0</v>
      </c>
      <c r="L31" s="144">
        <v>295.56</v>
      </c>
    </row>
    <row r="32" spans="1:12" x14ac:dyDescent="0.3">
      <c r="A32" s="221" t="s">
        <v>169</v>
      </c>
      <c r="B32" s="103" t="s">
        <v>1284</v>
      </c>
      <c r="C32" s="144">
        <v>11088.75</v>
      </c>
      <c r="D32" s="144">
        <v>0</v>
      </c>
      <c r="E32" s="144">
        <v>3451.27</v>
      </c>
      <c r="F32" s="144">
        <v>11088.75</v>
      </c>
      <c r="G32" s="144">
        <v>6654.78</v>
      </c>
      <c r="H32" s="144">
        <v>0</v>
      </c>
      <c r="I32" s="144">
        <v>10106.049999999999</v>
      </c>
      <c r="J32" s="144">
        <v>11088.75</v>
      </c>
      <c r="K32" s="144">
        <v>10106.049999999999</v>
      </c>
      <c r="L32" s="144">
        <v>0</v>
      </c>
    </row>
    <row r="33" spans="1:12" x14ac:dyDescent="0.3">
      <c r="A33" s="221" t="s">
        <v>527</v>
      </c>
      <c r="B33" s="103" t="s">
        <v>130</v>
      </c>
      <c r="C33" s="144">
        <v>0</v>
      </c>
      <c r="D33" s="144">
        <v>0</v>
      </c>
      <c r="E33" s="144">
        <v>0</v>
      </c>
      <c r="F33" s="144">
        <v>0</v>
      </c>
      <c r="G33" s="144">
        <v>0</v>
      </c>
      <c r="H33" s="144">
        <v>0</v>
      </c>
      <c r="I33" s="144">
        <v>0</v>
      </c>
      <c r="J33" s="144">
        <v>0</v>
      </c>
      <c r="K33" s="144">
        <v>0</v>
      </c>
      <c r="L33" s="144">
        <v>0</v>
      </c>
    </row>
    <row r="34" spans="1:12" x14ac:dyDescent="0.3">
      <c r="A34" s="221" t="s">
        <v>106</v>
      </c>
      <c r="B34" s="103" t="s">
        <v>1163</v>
      </c>
      <c r="C34" s="144">
        <v>343401</v>
      </c>
      <c r="D34" s="144">
        <v>0</v>
      </c>
      <c r="E34" s="144">
        <v>-343401</v>
      </c>
      <c r="F34" s="144">
        <v>0</v>
      </c>
      <c r="G34" s="144">
        <v>1507460.08</v>
      </c>
      <c r="H34" s="144">
        <v>0</v>
      </c>
      <c r="I34" s="144">
        <v>1164059.08</v>
      </c>
      <c r="J34" s="144">
        <v>0</v>
      </c>
      <c r="K34" s="144">
        <v>1507460.08</v>
      </c>
      <c r="L34" s="144">
        <v>0</v>
      </c>
    </row>
    <row r="35" spans="1:12" x14ac:dyDescent="0.3">
      <c r="A35" s="221" t="s">
        <v>1300</v>
      </c>
      <c r="B35" s="103" t="s">
        <v>99</v>
      </c>
      <c r="C35" s="144">
        <v>0</v>
      </c>
      <c r="D35" s="144">
        <v>155975.92000000001</v>
      </c>
      <c r="E35" s="144">
        <v>0</v>
      </c>
      <c r="F35" s="144">
        <v>0</v>
      </c>
      <c r="G35" s="144">
        <v>0</v>
      </c>
      <c r="H35" s="144">
        <v>0</v>
      </c>
      <c r="I35" s="144">
        <v>0</v>
      </c>
      <c r="J35" s="144">
        <v>0</v>
      </c>
      <c r="K35" s="144">
        <v>0</v>
      </c>
      <c r="L35" s="144">
        <v>155975.92000000001</v>
      </c>
    </row>
    <row r="36" spans="1:12" x14ac:dyDescent="0.3">
      <c r="A36" s="221" t="s">
        <v>1214</v>
      </c>
      <c r="B36" s="103" t="s">
        <v>377</v>
      </c>
      <c r="C36" s="144">
        <v>0</v>
      </c>
      <c r="D36" s="144">
        <v>1327757</v>
      </c>
      <c r="E36" s="144">
        <v>0</v>
      </c>
      <c r="F36" s="144">
        <v>0</v>
      </c>
      <c r="G36" s="144">
        <v>0</v>
      </c>
      <c r="H36" s="144">
        <v>0</v>
      </c>
      <c r="I36" s="144">
        <v>0</v>
      </c>
      <c r="J36" s="144">
        <v>0</v>
      </c>
      <c r="K36" s="144">
        <v>0</v>
      </c>
      <c r="L36" s="144">
        <v>1327757</v>
      </c>
    </row>
    <row r="37" spans="1:12" x14ac:dyDescent="0.3">
      <c r="A37" s="221" t="s">
        <v>970</v>
      </c>
      <c r="B37" s="103" t="s">
        <v>122</v>
      </c>
      <c r="C37" s="144">
        <v>0</v>
      </c>
      <c r="D37" s="144">
        <v>664000</v>
      </c>
      <c r="E37" s="144">
        <v>0</v>
      </c>
      <c r="F37" s="144">
        <v>0</v>
      </c>
      <c r="G37" s="144">
        <v>0</v>
      </c>
      <c r="H37" s="144">
        <v>0</v>
      </c>
      <c r="I37" s="144">
        <v>0</v>
      </c>
      <c r="J37" s="144">
        <v>0</v>
      </c>
      <c r="K37" s="144">
        <v>0</v>
      </c>
      <c r="L37" s="144">
        <v>664000</v>
      </c>
    </row>
    <row r="38" spans="1:12" x14ac:dyDescent="0.3">
      <c r="A38" s="221" t="s">
        <v>92</v>
      </c>
      <c r="B38" s="103" t="s">
        <v>403</v>
      </c>
      <c r="C38" s="144">
        <v>0</v>
      </c>
      <c r="D38" s="144">
        <v>132775.70000000001</v>
      </c>
      <c r="E38" s="144">
        <v>0</v>
      </c>
      <c r="F38" s="144">
        <v>0</v>
      </c>
      <c r="G38" s="144">
        <v>0</v>
      </c>
      <c r="H38" s="144">
        <v>0</v>
      </c>
      <c r="I38" s="144">
        <v>0</v>
      </c>
      <c r="J38" s="144">
        <v>0</v>
      </c>
      <c r="K38" s="144">
        <v>0</v>
      </c>
      <c r="L38" s="144">
        <v>132775.70000000001</v>
      </c>
    </row>
    <row r="39" spans="1:12" x14ac:dyDescent="0.3">
      <c r="A39" s="221" t="s">
        <v>870</v>
      </c>
      <c r="B39" s="103" t="s">
        <v>735</v>
      </c>
      <c r="C39" s="144">
        <v>0</v>
      </c>
      <c r="D39" s="144">
        <v>747720.23</v>
      </c>
      <c r="E39" s="144">
        <v>22829.13</v>
      </c>
      <c r="F39" s="144">
        <v>0</v>
      </c>
      <c r="G39" s="144">
        <v>0</v>
      </c>
      <c r="H39" s="144">
        <v>0</v>
      </c>
      <c r="I39" s="144">
        <v>22829.13</v>
      </c>
      <c r="J39" s="144">
        <v>0</v>
      </c>
      <c r="K39" s="144">
        <v>0</v>
      </c>
      <c r="L39" s="144">
        <v>724891.1</v>
      </c>
    </row>
    <row r="40" spans="1:12" x14ac:dyDescent="0.3">
      <c r="A40" s="221" t="s">
        <v>1271</v>
      </c>
      <c r="B40" s="103" t="s">
        <v>96</v>
      </c>
      <c r="C40" s="144">
        <v>0</v>
      </c>
      <c r="D40" s="144">
        <v>0</v>
      </c>
      <c r="E40" s="144">
        <v>22829.13</v>
      </c>
      <c r="F40" s="144">
        <v>22829.13</v>
      </c>
      <c r="G40" s="144">
        <v>0</v>
      </c>
      <c r="H40" s="144">
        <v>0</v>
      </c>
      <c r="I40" s="144">
        <v>22829.13</v>
      </c>
      <c r="J40" s="144">
        <v>22829.13</v>
      </c>
      <c r="K40" s="144">
        <v>0</v>
      </c>
      <c r="L40" s="144">
        <v>0</v>
      </c>
    </row>
    <row r="41" spans="1:12" x14ac:dyDescent="0.3">
      <c r="A41" s="221" t="s">
        <v>1080</v>
      </c>
      <c r="B41" s="103" t="s">
        <v>580</v>
      </c>
      <c r="C41" s="144">
        <v>22829.13</v>
      </c>
      <c r="D41" s="144">
        <v>0</v>
      </c>
      <c r="E41" s="144">
        <v>0</v>
      </c>
      <c r="F41" s="144">
        <v>22829.13</v>
      </c>
      <c r="G41" s="144">
        <v>0</v>
      </c>
      <c r="H41" s="144">
        <v>0</v>
      </c>
      <c r="I41" s="144">
        <v>0</v>
      </c>
      <c r="J41" s="144">
        <v>22829.13</v>
      </c>
      <c r="K41" s="144">
        <v>0</v>
      </c>
      <c r="L41" s="144">
        <v>0</v>
      </c>
    </row>
    <row r="42" spans="1:12" x14ac:dyDescent="0.3">
      <c r="A42" s="221" t="s">
        <v>1114</v>
      </c>
      <c r="B42" s="103" t="s">
        <v>577</v>
      </c>
      <c r="C42" s="144">
        <v>0</v>
      </c>
      <c r="D42" s="144">
        <v>21146</v>
      </c>
      <c r="E42" s="144">
        <v>0</v>
      </c>
      <c r="F42" s="144">
        <v>0</v>
      </c>
      <c r="G42" s="144">
        <v>0</v>
      </c>
      <c r="H42" s="144">
        <v>18108</v>
      </c>
      <c r="I42" s="144">
        <v>0</v>
      </c>
      <c r="J42" s="144">
        <v>18108</v>
      </c>
      <c r="K42" s="144">
        <v>0</v>
      </c>
      <c r="L42" s="144">
        <v>39254</v>
      </c>
    </row>
    <row r="43" spans="1:12" x14ac:dyDescent="0.3">
      <c r="A43" s="221" t="s">
        <v>516</v>
      </c>
      <c r="B43" s="103" t="s">
        <v>348</v>
      </c>
      <c r="C43" s="144">
        <v>0</v>
      </c>
      <c r="D43" s="144">
        <v>27900</v>
      </c>
      <c r="E43" s="144">
        <v>27900</v>
      </c>
      <c r="F43" s="144">
        <v>0</v>
      </c>
      <c r="G43" s="144">
        <v>0</v>
      </c>
      <c r="H43" s="144">
        <v>0</v>
      </c>
      <c r="I43" s="144">
        <v>27900</v>
      </c>
      <c r="J43" s="144">
        <v>0</v>
      </c>
      <c r="K43" s="144">
        <v>0</v>
      </c>
      <c r="L43" s="144">
        <v>0</v>
      </c>
    </row>
    <row r="44" spans="1:12" x14ac:dyDescent="0.3">
      <c r="A44" s="221" t="s">
        <v>736</v>
      </c>
      <c r="B44" s="103" t="s">
        <v>1089</v>
      </c>
      <c r="C44" s="144">
        <v>0</v>
      </c>
      <c r="D44" s="144">
        <v>14826.45</v>
      </c>
      <c r="E44" s="144">
        <v>785</v>
      </c>
      <c r="F44" s="144">
        <v>2570.7199999999998</v>
      </c>
      <c r="G44" s="144">
        <v>0</v>
      </c>
      <c r="H44" s="144">
        <v>0</v>
      </c>
      <c r="I44" s="144">
        <v>785</v>
      </c>
      <c r="J44" s="144">
        <v>2570.7199999999998</v>
      </c>
      <c r="K44" s="144">
        <v>0</v>
      </c>
      <c r="L44" s="144">
        <v>16612.169999999998</v>
      </c>
    </row>
    <row r="45" spans="1:12" x14ac:dyDescent="0.3">
      <c r="A45" s="221" t="s">
        <v>1311</v>
      </c>
      <c r="B45" s="103" t="s">
        <v>734</v>
      </c>
      <c r="C45" s="144">
        <v>0</v>
      </c>
      <c r="D45" s="144">
        <v>4960.1000000000004</v>
      </c>
      <c r="E45" s="144">
        <v>4514.01</v>
      </c>
      <c r="F45" s="144">
        <v>0</v>
      </c>
      <c r="G45" s="144">
        <v>446.09</v>
      </c>
      <c r="H45" s="144">
        <v>0</v>
      </c>
      <c r="I45" s="144">
        <v>4960.1000000000004</v>
      </c>
      <c r="J45" s="144">
        <v>0</v>
      </c>
      <c r="K45" s="144">
        <v>0</v>
      </c>
      <c r="L45" s="144">
        <v>0</v>
      </c>
    </row>
    <row r="46" spans="1:12" x14ac:dyDescent="0.3">
      <c r="A46" s="221" t="s">
        <v>871</v>
      </c>
      <c r="B46" s="103" t="s">
        <v>842</v>
      </c>
      <c r="C46" s="144">
        <v>4018</v>
      </c>
      <c r="D46" s="144">
        <v>0</v>
      </c>
      <c r="E46" s="144">
        <v>0</v>
      </c>
      <c r="F46" s="144">
        <v>0</v>
      </c>
      <c r="G46" s="144">
        <v>3441</v>
      </c>
      <c r="H46" s="144">
        <v>0</v>
      </c>
      <c r="I46" s="144">
        <v>3441</v>
      </c>
      <c r="J46" s="144">
        <v>0</v>
      </c>
      <c r="K46" s="144">
        <v>7459</v>
      </c>
      <c r="L46" s="144">
        <v>0</v>
      </c>
    </row>
    <row r="47" spans="1:12" x14ac:dyDescent="0.3">
      <c r="A47" s="221" t="s">
        <v>89</v>
      </c>
      <c r="B47" s="103" t="s">
        <v>887</v>
      </c>
      <c r="C47" s="144">
        <v>0</v>
      </c>
      <c r="D47" s="144">
        <v>0</v>
      </c>
      <c r="E47" s="144">
        <v>5653930.25</v>
      </c>
      <c r="F47" s="144">
        <v>0</v>
      </c>
      <c r="G47" s="144">
        <v>-1571035.87</v>
      </c>
      <c r="H47" s="144">
        <v>0</v>
      </c>
      <c r="I47" s="144">
        <v>4082894.38</v>
      </c>
      <c r="J47" s="144">
        <v>0</v>
      </c>
      <c r="K47" s="144">
        <v>4082894.38</v>
      </c>
      <c r="L47" s="144">
        <v>0</v>
      </c>
    </row>
    <row r="48" spans="1:12" x14ac:dyDescent="0.3">
      <c r="A48" s="221" t="s">
        <v>1077</v>
      </c>
      <c r="B48" s="103" t="s">
        <v>204</v>
      </c>
      <c r="C48" s="144">
        <v>0</v>
      </c>
      <c r="D48" s="144">
        <v>0</v>
      </c>
      <c r="E48" s="144">
        <v>85287.67</v>
      </c>
      <c r="F48" s="144">
        <v>0</v>
      </c>
      <c r="G48" s="144">
        <v>6744.68</v>
      </c>
      <c r="H48" s="144">
        <v>0</v>
      </c>
      <c r="I48" s="144">
        <v>92032.35</v>
      </c>
      <c r="J48" s="144">
        <v>0</v>
      </c>
      <c r="K48" s="144">
        <v>92032.35</v>
      </c>
      <c r="L48" s="144">
        <v>0</v>
      </c>
    </row>
    <row r="49" spans="1:12" x14ac:dyDescent="0.3">
      <c r="A49" s="221" t="s">
        <v>616</v>
      </c>
      <c r="B49" s="103" t="s">
        <v>78</v>
      </c>
      <c r="C49" s="144">
        <v>0</v>
      </c>
      <c r="D49" s="144">
        <v>0</v>
      </c>
      <c r="E49" s="144">
        <v>0</v>
      </c>
      <c r="F49" s="144">
        <v>0</v>
      </c>
      <c r="G49" s="144">
        <v>2653452.5099999998</v>
      </c>
      <c r="H49" s="144">
        <v>0</v>
      </c>
      <c r="I49" s="144">
        <v>2653452.5099999998</v>
      </c>
      <c r="J49" s="144">
        <v>0</v>
      </c>
      <c r="K49" s="144">
        <v>2653452.5099999998</v>
      </c>
      <c r="L49" s="144">
        <v>0</v>
      </c>
    </row>
    <row r="50" spans="1:12" x14ac:dyDescent="0.3">
      <c r="A50" s="221" t="s">
        <v>1258</v>
      </c>
      <c r="B50" s="103" t="s">
        <v>550</v>
      </c>
      <c r="C50" s="144">
        <v>0</v>
      </c>
      <c r="D50" s="144">
        <v>0</v>
      </c>
      <c r="E50" s="144">
        <v>46001.26</v>
      </c>
      <c r="F50" s="144">
        <v>0</v>
      </c>
      <c r="G50" s="144">
        <v>3640.59</v>
      </c>
      <c r="H50" s="144">
        <v>0</v>
      </c>
      <c r="I50" s="144">
        <v>49641.85</v>
      </c>
      <c r="J50" s="144">
        <v>0</v>
      </c>
      <c r="K50" s="144">
        <v>49641.85</v>
      </c>
      <c r="L50" s="144">
        <v>0</v>
      </c>
    </row>
    <row r="51" spans="1:12" x14ac:dyDescent="0.3">
      <c r="A51" s="221" t="s">
        <v>620</v>
      </c>
      <c r="B51" s="103" t="s">
        <v>650</v>
      </c>
      <c r="C51" s="144">
        <v>0</v>
      </c>
      <c r="D51" s="144">
        <v>0</v>
      </c>
      <c r="E51" s="144">
        <v>41380.239999999998</v>
      </c>
      <c r="F51" s="144">
        <v>0</v>
      </c>
      <c r="G51" s="144">
        <v>4248.43</v>
      </c>
      <c r="H51" s="144">
        <v>0</v>
      </c>
      <c r="I51" s="144">
        <v>45628.67</v>
      </c>
      <c r="J51" s="144">
        <v>0</v>
      </c>
      <c r="K51" s="144">
        <v>45628.67</v>
      </c>
      <c r="L51" s="144">
        <v>0</v>
      </c>
    </row>
    <row r="52" spans="1:12" x14ac:dyDescent="0.3">
      <c r="A52" s="221" t="s">
        <v>1279</v>
      </c>
      <c r="B52" s="103" t="s">
        <v>434</v>
      </c>
      <c r="C52" s="144">
        <v>0</v>
      </c>
      <c r="D52" s="144">
        <v>0</v>
      </c>
      <c r="E52" s="144">
        <v>794.4</v>
      </c>
      <c r="F52" s="144">
        <v>0</v>
      </c>
      <c r="G52" s="144">
        <v>1668.31</v>
      </c>
      <c r="H52" s="144">
        <v>0</v>
      </c>
      <c r="I52" s="144">
        <v>2462.71</v>
      </c>
      <c r="J52" s="144">
        <v>0</v>
      </c>
      <c r="K52" s="144">
        <v>2462.71</v>
      </c>
      <c r="L52" s="144">
        <v>0</v>
      </c>
    </row>
    <row r="53" spans="1:12" x14ac:dyDescent="0.3">
      <c r="A53" s="221" t="s">
        <v>417</v>
      </c>
      <c r="B53" s="103" t="s">
        <v>637</v>
      </c>
      <c r="C53" s="144">
        <v>0</v>
      </c>
      <c r="D53" s="144">
        <v>0</v>
      </c>
      <c r="E53" s="144">
        <v>3447408.62</v>
      </c>
      <c r="F53" s="144">
        <v>0</v>
      </c>
      <c r="G53" s="144">
        <v>1377592.3</v>
      </c>
      <c r="H53" s="144">
        <v>0</v>
      </c>
      <c r="I53" s="144">
        <v>4825000.92</v>
      </c>
      <c r="J53" s="144">
        <v>0</v>
      </c>
      <c r="K53" s="144">
        <v>4825000.92</v>
      </c>
      <c r="L53" s="144">
        <v>0</v>
      </c>
    </row>
    <row r="54" spans="1:12" x14ac:dyDescent="0.3">
      <c r="A54" s="221" t="s">
        <v>167</v>
      </c>
      <c r="B54" s="103" t="s">
        <v>465</v>
      </c>
      <c r="C54" s="144">
        <v>0</v>
      </c>
      <c r="D54" s="144">
        <v>0</v>
      </c>
      <c r="E54" s="144">
        <v>526124.12</v>
      </c>
      <c r="F54" s="144">
        <v>0</v>
      </c>
      <c r="G54" s="144">
        <v>93951.19</v>
      </c>
      <c r="H54" s="144">
        <v>0</v>
      </c>
      <c r="I54" s="144">
        <v>620075.31000000006</v>
      </c>
      <c r="J54" s="144">
        <v>0</v>
      </c>
      <c r="K54" s="144">
        <v>620075.31000000006</v>
      </c>
      <c r="L54" s="144">
        <v>0</v>
      </c>
    </row>
    <row r="55" spans="1:12" x14ac:dyDescent="0.3">
      <c r="A55" s="221" t="s">
        <v>1073</v>
      </c>
      <c r="B55" s="103" t="s">
        <v>798</v>
      </c>
      <c r="C55" s="144">
        <v>0</v>
      </c>
      <c r="D55" s="144">
        <v>0</v>
      </c>
      <c r="E55" s="144">
        <v>183425.27</v>
      </c>
      <c r="F55" s="144">
        <v>0</v>
      </c>
      <c r="G55" s="144">
        <v>32909.08</v>
      </c>
      <c r="H55" s="144">
        <v>0</v>
      </c>
      <c r="I55" s="144">
        <v>216334.35</v>
      </c>
      <c r="J55" s="144">
        <v>0</v>
      </c>
      <c r="K55" s="144">
        <v>216334.35</v>
      </c>
      <c r="L55" s="144">
        <v>0</v>
      </c>
    </row>
    <row r="56" spans="1:12" x14ac:dyDescent="0.3">
      <c r="A56" s="221" t="s">
        <v>852</v>
      </c>
      <c r="B56" s="103" t="s">
        <v>55</v>
      </c>
      <c r="C56" s="144">
        <v>0</v>
      </c>
      <c r="D56" s="144">
        <v>0</v>
      </c>
      <c r="E56" s="144">
        <v>22289.86</v>
      </c>
      <c r="F56" s="144">
        <v>0</v>
      </c>
      <c r="G56" s="144">
        <v>20424.68</v>
      </c>
      <c r="H56" s="144">
        <v>0</v>
      </c>
      <c r="I56" s="144">
        <v>42714.54</v>
      </c>
      <c r="J56" s="144">
        <v>0</v>
      </c>
      <c r="K56" s="144">
        <v>42714.54</v>
      </c>
      <c r="L56" s="144">
        <v>0</v>
      </c>
    </row>
    <row r="57" spans="1:12" x14ac:dyDescent="0.3">
      <c r="A57" s="221" t="s">
        <v>336</v>
      </c>
      <c r="B57" s="103" t="s">
        <v>1230</v>
      </c>
      <c r="C57" s="144">
        <v>0</v>
      </c>
      <c r="D57" s="144">
        <v>0</v>
      </c>
      <c r="E57" s="144">
        <v>0</v>
      </c>
      <c r="F57" s="144">
        <v>0</v>
      </c>
      <c r="G57" s="144">
        <v>12553.1</v>
      </c>
      <c r="H57" s="144">
        <v>0</v>
      </c>
      <c r="I57" s="144">
        <v>12553.1</v>
      </c>
      <c r="J57" s="144">
        <v>0</v>
      </c>
      <c r="K57" s="144">
        <v>12553.1</v>
      </c>
      <c r="L57" s="144">
        <v>0</v>
      </c>
    </row>
    <row r="58" spans="1:12" x14ac:dyDescent="0.3">
      <c r="A58" s="221" t="s">
        <v>889</v>
      </c>
      <c r="B58" s="103" t="s">
        <v>27</v>
      </c>
      <c r="C58" s="144">
        <v>0</v>
      </c>
      <c r="D58" s="144">
        <v>0</v>
      </c>
      <c r="E58" s="144">
        <v>8790.81</v>
      </c>
      <c r="F58" s="144">
        <v>0</v>
      </c>
      <c r="G58" s="144">
        <v>0</v>
      </c>
      <c r="H58" s="144">
        <v>0</v>
      </c>
      <c r="I58" s="144">
        <v>8790.81</v>
      </c>
      <c r="J58" s="144">
        <v>0</v>
      </c>
      <c r="K58" s="144">
        <v>8790.81</v>
      </c>
      <c r="L58" s="144">
        <v>0</v>
      </c>
    </row>
    <row r="59" spans="1:12" x14ac:dyDescent="0.3">
      <c r="A59" s="221" t="s">
        <v>950</v>
      </c>
      <c r="B59" s="103" t="s">
        <v>220</v>
      </c>
      <c r="C59" s="144">
        <v>0</v>
      </c>
      <c r="D59" s="144">
        <v>0</v>
      </c>
      <c r="E59" s="144">
        <v>5225.17</v>
      </c>
      <c r="F59" s="144">
        <v>0</v>
      </c>
      <c r="G59" s="144">
        <v>511.8</v>
      </c>
      <c r="H59" s="144">
        <v>0</v>
      </c>
      <c r="I59" s="144">
        <v>5736.97</v>
      </c>
      <c r="J59" s="144">
        <v>0</v>
      </c>
      <c r="K59" s="144">
        <v>5736.97</v>
      </c>
      <c r="L59" s="144">
        <v>0</v>
      </c>
    </row>
    <row r="60" spans="1:12" x14ac:dyDescent="0.3">
      <c r="A60" s="221" t="s">
        <v>1011</v>
      </c>
      <c r="B60" s="103" t="s">
        <v>864</v>
      </c>
      <c r="C60" s="144">
        <v>0</v>
      </c>
      <c r="D60" s="144">
        <v>0</v>
      </c>
      <c r="E60" s="144">
        <v>0</v>
      </c>
      <c r="F60" s="144">
        <v>0</v>
      </c>
      <c r="G60" s="144">
        <v>2000</v>
      </c>
      <c r="H60" s="144">
        <v>0</v>
      </c>
      <c r="I60" s="144">
        <v>2000</v>
      </c>
      <c r="J60" s="144">
        <v>0</v>
      </c>
      <c r="K60" s="144">
        <v>2000</v>
      </c>
      <c r="L60" s="144">
        <v>0</v>
      </c>
    </row>
    <row r="61" spans="1:12" x14ac:dyDescent="0.3">
      <c r="A61" s="221" t="s">
        <v>310</v>
      </c>
      <c r="B61" s="103" t="s">
        <v>1281</v>
      </c>
      <c r="C61" s="144">
        <v>0</v>
      </c>
      <c r="D61" s="144">
        <v>0</v>
      </c>
      <c r="E61" s="144">
        <v>1614.91</v>
      </c>
      <c r="F61" s="144">
        <v>0</v>
      </c>
      <c r="G61" s="144">
        <v>0</v>
      </c>
      <c r="H61" s="144">
        <v>0</v>
      </c>
      <c r="I61" s="144">
        <v>1614.91</v>
      </c>
      <c r="J61" s="144">
        <v>0</v>
      </c>
      <c r="K61" s="144">
        <v>1614.91</v>
      </c>
      <c r="L61" s="144">
        <v>0</v>
      </c>
    </row>
    <row r="62" spans="1:12" x14ac:dyDescent="0.3">
      <c r="A62" s="221" t="s">
        <v>945</v>
      </c>
      <c r="B62" s="103" t="s">
        <v>1083</v>
      </c>
      <c r="C62" s="144">
        <v>0</v>
      </c>
      <c r="D62" s="144">
        <v>0</v>
      </c>
      <c r="E62" s="144">
        <v>19793.52</v>
      </c>
      <c r="F62" s="144">
        <v>0</v>
      </c>
      <c r="G62" s="144">
        <v>9.02</v>
      </c>
      <c r="H62" s="144">
        <v>0</v>
      </c>
      <c r="I62" s="144">
        <v>19802.54</v>
      </c>
      <c r="J62" s="144">
        <v>0</v>
      </c>
      <c r="K62" s="144">
        <v>19802.54</v>
      </c>
      <c r="L62" s="144">
        <v>0</v>
      </c>
    </row>
    <row r="63" spans="1:12" x14ac:dyDescent="0.3">
      <c r="A63" s="221" t="s">
        <v>292</v>
      </c>
      <c r="B63" s="103" t="s">
        <v>490</v>
      </c>
      <c r="C63" s="144">
        <v>0</v>
      </c>
      <c r="D63" s="144">
        <v>0</v>
      </c>
      <c r="E63" s="144">
        <v>254038.5</v>
      </c>
      <c r="F63" s="144">
        <v>0</v>
      </c>
      <c r="G63" s="144">
        <v>26646.22</v>
      </c>
      <c r="H63" s="144">
        <v>0</v>
      </c>
      <c r="I63" s="144">
        <v>280684.71999999997</v>
      </c>
      <c r="J63" s="144">
        <v>0</v>
      </c>
      <c r="K63" s="144">
        <v>280684.71999999997</v>
      </c>
      <c r="L63" s="144">
        <v>0</v>
      </c>
    </row>
    <row r="64" spans="1:12" x14ac:dyDescent="0.3">
      <c r="A64" s="221" t="s">
        <v>1287</v>
      </c>
      <c r="B64" s="103" t="s">
        <v>665</v>
      </c>
      <c r="C64" s="144">
        <v>0</v>
      </c>
      <c r="D64" s="144">
        <v>0</v>
      </c>
      <c r="E64" s="144">
        <v>482.07</v>
      </c>
      <c r="F64" s="144">
        <v>0</v>
      </c>
      <c r="G64" s="144">
        <v>0.74</v>
      </c>
      <c r="H64" s="144">
        <v>0</v>
      </c>
      <c r="I64" s="144">
        <v>482.81</v>
      </c>
      <c r="J64" s="144">
        <v>0</v>
      </c>
      <c r="K64" s="144">
        <v>482.81</v>
      </c>
      <c r="L64" s="144">
        <v>0</v>
      </c>
    </row>
    <row r="65" spans="1:12" x14ac:dyDescent="0.3">
      <c r="A65" s="221" t="s">
        <v>934</v>
      </c>
      <c r="B65" s="103" t="s">
        <v>831</v>
      </c>
      <c r="C65" s="144">
        <v>0</v>
      </c>
      <c r="D65" s="144">
        <v>0</v>
      </c>
      <c r="E65" s="144">
        <v>22261.77</v>
      </c>
      <c r="F65" s="144">
        <v>0</v>
      </c>
      <c r="G65" s="144">
        <v>23190.799999999999</v>
      </c>
      <c r="H65" s="144">
        <v>0</v>
      </c>
      <c r="I65" s="144">
        <v>45452.57</v>
      </c>
      <c r="J65" s="144">
        <v>0</v>
      </c>
      <c r="K65" s="144">
        <v>45452.57</v>
      </c>
      <c r="L65" s="144">
        <v>0</v>
      </c>
    </row>
    <row r="66" spans="1:12" x14ac:dyDescent="0.3">
      <c r="A66" s="221" t="s">
        <v>532</v>
      </c>
      <c r="B66" s="103" t="s">
        <v>863</v>
      </c>
      <c r="C66" s="144">
        <v>0</v>
      </c>
      <c r="D66" s="144">
        <v>0</v>
      </c>
      <c r="E66" s="144">
        <v>30457.48</v>
      </c>
      <c r="F66" s="144">
        <v>0</v>
      </c>
      <c r="G66" s="144">
        <v>1147.71</v>
      </c>
      <c r="H66" s="144">
        <v>0</v>
      </c>
      <c r="I66" s="144">
        <v>31605.19</v>
      </c>
      <c r="J66" s="144">
        <v>0</v>
      </c>
      <c r="K66" s="144">
        <v>31605.19</v>
      </c>
      <c r="L66" s="144">
        <v>0</v>
      </c>
    </row>
    <row r="67" spans="1:12" x14ac:dyDescent="0.3">
      <c r="A67" s="221" t="s">
        <v>4</v>
      </c>
      <c r="B67" s="103" t="s">
        <v>1059</v>
      </c>
      <c r="C67" s="144">
        <v>0</v>
      </c>
      <c r="D67" s="144">
        <v>0</v>
      </c>
      <c r="E67" s="144">
        <v>27.87</v>
      </c>
      <c r="F67" s="144">
        <v>0</v>
      </c>
      <c r="G67" s="144">
        <v>13049.71</v>
      </c>
      <c r="H67" s="144">
        <v>0</v>
      </c>
      <c r="I67" s="144">
        <v>13077.58</v>
      </c>
      <c r="J67" s="144">
        <v>0</v>
      </c>
      <c r="K67" s="144">
        <v>13077.58</v>
      </c>
      <c r="L67" s="144">
        <v>0</v>
      </c>
    </row>
    <row r="68" spans="1:12" x14ac:dyDescent="0.3">
      <c r="A68" s="221" t="s">
        <v>696</v>
      </c>
      <c r="B68" s="103" t="s">
        <v>302</v>
      </c>
      <c r="C68" s="144">
        <v>0</v>
      </c>
      <c r="D68" s="144">
        <v>0</v>
      </c>
      <c r="E68" s="144">
        <v>0</v>
      </c>
      <c r="F68" s="144">
        <v>0</v>
      </c>
      <c r="G68" s="144">
        <v>0</v>
      </c>
      <c r="H68" s="144">
        <v>3441</v>
      </c>
      <c r="I68" s="144">
        <v>0</v>
      </c>
      <c r="J68" s="144">
        <v>3441</v>
      </c>
      <c r="K68" s="144">
        <v>0</v>
      </c>
      <c r="L68" s="144">
        <v>3441</v>
      </c>
    </row>
    <row r="69" spans="1:12" x14ac:dyDescent="0.3">
      <c r="A69" s="221" t="s">
        <v>211</v>
      </c>
      <c r="B69" s="103" t="s">
        <v>703</v>
      </c>
      <c r="C69" s="144">
        <v>0</v>
      </c>
      <c r="D69" s="144">
        <v>0</v>
      </c>
      <c r="E69" s="144">
        <v>0</v>
      </c>
      <c r="F69" s="144">
        <v>8237115.4699999997</v>
      </c>
      <c r="G69" s="144">
        <v>0</v>
      </c>
      <c r="H69" s="144">
        <v>2094165.07</v>
      </c>
      <c r="I69" s="144">
        <v>0</v>
      </c>
      <c r="J69" s="144">
        <v>10331280.539999999</v>
      </c>
      <c r="K69" s="144">
        <v>0</v>
      </c>
      <c r="L69" s="144">
        <v>10331280.539999999</v>
      </c>
    </row>
    <row r="70" spans="1:12" x14ac:dyDescent="0.3">
      <c r="A70" s="221" t="s">
        <v>996</v>
      </c>
      <c r="B70" s="103" t="s">
        <v>1072</v>
      </c>
      <c r="C70" s="144">
        <v>0</v>
      </c>
      <c r="D70" s="144">
        <v>0</v>
      </c>
      <c r="E70" s="144">
        <v>0</v>
      </c>
      <c r="F70" s="144">
        <v>2655022.5099999998</v>
      </c>
      <c r="G70" s="144">
        <v>0</v>
      </c>
      <c r="H70" s="144">
        <v>0</v>
      </c>
      <c r="I70" s="144">
        <v>0</v>
      </c>
      <c r="J70" s="144">
        <v>2655022.5099999998</v>
      </c>
      <c r="K70" s="144">
        <v>0</v>
      </c>
      <c r="L70" s="144">
        <v>2655022.5099999998</v>
      </c>
    </row>
    <row r="71" spans="1:12" x14ac:dyDescent="0.3">
      <c r="A71" s="221" t="s">
        <v>558</v>
      </c>
      <c r="B71" s="103" t="s">
        <v>80</v>
      </c>
      <c r="C71" s="144">
        <v>0</v>
      </c>
      <c r="D71" s="144">
        <v>0</v>
      </c>
      <c r="E71" s="144">
        <v>0</v>
      </c>
      <c r="F71" s="144">
        <v>0</v>
      </c>
      <c r="G71" s="144">
        <v>0</v>
      </c>
      <c r="H71" s="144">
        <v>2367.9499999999998</v>
      </c>
      <c r="I71" s="144">
        <v>0</v>
      </c>
      <c r="J71" s="144">
        <v>2367.9499999999998</v>
      </c>
      <c r="K71" s="144">
        <v>0</v>
      </c>
      <c r="L71" s="144">
        <v>2367.9499999999998</v>
      </c>
    </row>
    <row r="72" spans="1:12" x14ac:dyDescent="0.3">
      <c r="A72" s="221" t="s">
        <v>458</v>
      </c>
      <c r="B72" s="103" t="s">
        <v>102</v>
      </c>
      <c r="C72" s="144">
        <v>0</v>
      </c>
      <c r="D72" s="144">
        <v>0</v>
      </c>
      <c r="E72" s="144">
        <v>0</v>
      </c>
      <c r="F72" s="144">
        <v>35034.339999999997</v>
      </c>
      <c r="G72" s="144">
        <v>0</v>
      </c>
      <c r="H72" s="144">
        <v>0</v>
      </c>
      <c r="I72" s="144">
        <v>0</v>
      </c>
      <c r="J72" s="144">
        <v>35034.339999999997</v>
      </c>
      <c r="K72" s="144">
        <v>0</v>
      </c>
      <c r="L72" s="144">
        <v>35034.339999999997</v>
      </c>
    </row>
    <row r="73" spans="1:12" x14ac:dyDescent="0.3">
      <c r="A73" s="221" t="s">
        <v>383</v>
      </c>
      <c r="B73" s="103" t="s">
        <v>669</v>
      </c>
      <c r="C73" s="144">
        <v>0</v>
      </c>
      <c r="D73" s="144">
        <v>0</v>
      </c>
      <c r="E73" s="144">
        <v>0</v>
      </c>
      <c r="F73" s="144">
        <v>0</v>
      </c>
      <c r="G73" s="144">
        <v>0</v>
      </c>
      <c r="H73" s="144">
        <v>9641.83</v>
      </c>
      <c r="I73" s="144">
        <v>0</v>
      </c>
      <c r="J73" s="144">
        <v>9641.83</v>
      </c>
      <c r="K73" s="144">
        <v>0</v>
      </c>
      <c r="L73" s="144">
        <v>9641.83</v>
      </c>
    </row>
    <row r="74" spans="1:12" x14ac:dyDescent="0.3">
      <c r="A74" s="221" t="s">
        <v>386</v>
      </c>
      <c r="B74" s="103" t="s">
        <v>665</v>
      </c>
      <c r="C74" s="144">
        <v>0</v>
      </c>
      <c r="D74" s="144">
        <v>0</v>
      </c>
      <c r="E74" s="144">
        <v>0</v>
      </c>
      <c r="F74" s="144">
        <v>152.37</v>
      </c>
      <c r="G74" s="144">
        <v>0</v>
      </c>
      <c r="H74" s="144">
        <v>31</v>
      </c>
      <c r="I74" s="144">
        <v>0</v>
      </c>
      <c r="J74" s="144">
        <v>183.37</v>
      </c>
      <c r="K74" s="144">
        <v>0</v>
      </c>
      <c r="L74" s="144">
        <v>183.37</v>
      </c>
    </row>
    <row r="75" spans="1:12" x14ac:dyDescent="0.3">
      <c r="A75" s="221" t="s">
        <v>404</v>
      </c>
      <c r="B75" s="103" t="s">
        <v>955</v>
      </c>
      <c r="C75" s="144">
        <v>0</v>
      </c>
      <c r="D75" s="144">
        <v>0</v>
      </c>
      <c r="E75" s="144">
        <v>0</v>
      </c>
      <c r="F75" s="144">
        <v>8219.7999999999993</v>
      </c>
      <c r="G75" s="144">
        <v>0</v>
      </c>
      <c r="H75" s="144">
        <v>2515.75</v>
      </c>
      <c r="I75" s="144">
        <v>0</v>
      </c>
      <c r="J75" s="144">
        <v>10735.55</v>
      </c>
      <c r="K75" s="144">
        <v>0</v>
      </c>
      <c r="L75" s="144">
        <v>10735.55</v>
      </c>
    </row>
    <row r="76" spans="1:12" x14ac:dyDescent="0.3">
      <c r="A76" s="221" t="s">
        <v>352</v>
      </c>
      <c r="B76" s="103" t="s">
        <v>638</v>
      </c>
      <c r="C76" s="144">
        <v>0</v>
      </c>
      <c r="D76" s="144">
        <v>0</v>
      </c>
      <c r="E76" s="144">
        <v>0</v>
      </c>
      <c r="F76" s="144">
        <v>3411.6</v>
      </c>
      <c r="G76" s="144">
        <v>0</v>
      </c>
      <c r="H76" s="144">
        <v>9229.66</v>
      </c>
      <c r="I76" s="144">
        <v>0</v>
      </c>
      <c r="J76" s="144">
        <v>12641.26</v>
      </c>
      <c r="K76" s="144">
        <v>0</v>
      </c>
      <c r="L76" s="144">
        <v>12641.26</v>
      </c>
    </row>
    <row r="77" spans="1:12" x14ac:dyDescent="0.3">
      <c r="A77" s="221" t="s">
        <v>270</v>
      </c>
      <c r="B77" s="103" t="s">
        <v>779</v>
      </c>
      <c r="C77" s="144">
        <v>0</v>
      </c>
      <c r="D77" s="144">
        <v>0</v>
      </c>
      <c r="E77" s="144">
        <v>0</v>
      </c>
      <c r="F77" s="144">
        <v>0</v>
      </c>
      <c r="G77" s="144">
        <v>0</v>
      </c>
      <c r="H77" s="144">
        <v>0</v>
      </c>
      <c r="I77" s="144">
        <v>9195812.6699999999</v>
      </c>
      <c r="J77" s="144">
        <v>9195812.6699999999</v>
      </c>
      <c r="K77" s="144">
        <v>0</v>
      </c>
      <c r="L77" s="144">
        <v>0</v>
      </c>
    </row>
    <row r="78" spans="1:12" x14ac:dyDescent="0.3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3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3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3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3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3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3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3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3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3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3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3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3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3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3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3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3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3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3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3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3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3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3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3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3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3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3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3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3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3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3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3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3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3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3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3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3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3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3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3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3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3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3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3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3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3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3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zoomScaleNormal="100" zoomScaleSheetLayoutView="100" workbookViewId="0"/>
  </sheetViews>
  <sheetFormatPr defaultColWidth="9.109375" defaultRowHeight="14.4" x14ac:dyDescent="0.3"/>
  <cols>
    <col min="1" max="1" width="8.33203125" style="181" customWidth="1"/>
    <col min="2" max="2" width="86.109375" style="181" customWidth="1"/>
    <col min="3" max="3" width="4.44140625" style="147" customWidth="1"/>
    <col min="4" max="7" width="15.33203125" style="6" customWidth="1"/>
    <col min="8" max="16384" width="9.109375" style="112"/>
  </cols>
  <sheetData>
    <row r="1" spans="1:7" ht="30.6" x14ac:dyDescent="0.3">
      <c r="A1" s="11" t="s">
        <v>743</v>
      </c>
      <c r="B1" s="11" t="s">
        <v>793</v>
      </c>
      <c r="C1" s="51" t="s">
        <v>898</v>
      </c>
      <c r="D1" s="157" t="s">
        <v>1169</v>
      </c>
      <c r="E1" s="157" t="s">
        <v>1275</v>
      </c>
      <c r="F1" s="157" t="s">
        <v>349</v>
      </c>
      <c r="G1" s="157" t="s">
        <v>536</v>
      </c>
    </row>
    <row r="2" spans="1:7" x14ac:dyDescent="0.3">
      <c r="A2" s="103" t="s">
        <v>1327</v>
      </c>
      <c r="B2" s="103" t="s">
        <v>623</v>
      </c>
      <c r="C2" s="221" t="s">
        <v>606</v>
      </c>
      <c r="D2" s="144">
        <v>15970845.630000001</v>
      </c>
      <c r="E2" s="144">
        <v>0</v>
      </c>
      <c r="F2" s="144">
        <v>15970845.630000001</v>
      </c>
      <c r="G2" s="144">
        <v>0</v>
      </c>
    </row>
    <row r="3" spans="1:7" x14ac:dyDescent="0.3">
      <c r="A3" s="103" t="s">
        <v>1008</v>
      </c>
      <c r="B3" s="103" t="s">
        <v>107</v>
      </c>
      <c r="C3" s="221" t="s">
        <v>1216</v>
      </c>
      <c r="D3" s="144">
        <v>17087016.210000001</v>
      </c>
      <c r="E3" s="144">
        <v>13033347.17</v>
      </c>
      <c r="F3" s="144">
        <v>17087016.210000001</v>
      </c>
      <c r="G3" s="144">
        <v>13033348</v>
      </c>
    </row>
    <row r="4" spans="1:7" x14ac:dyDescent="0.3">
      <c r="A4" s="103" t="s">
        <v>482</v>
      </c>
      <c r="B4" s="103" t="s">
        <v>117</v>
      </c>
      <c r="C4" s="221" t="s">
        <v>585</v>
      </c>
      <c r="D4" s="135">
        <v>0</v>
      </c>
      <c r="E4" s="144">
        <v>2655022.5099999998</v>
      </c>
      <c r="F4" s="135">
        <v>0</v>
      </c>
      <c r="G4" s="144">
        <v>2655023</v>
      </c>
    </row>
    <row r="5" spans="1:7" x14ac:dyDescent="0.3">
      <c r="A5" s="103" t="s">
        <v>607</v>
      </c>
      <c r="B5" s="103" t="s">
        <v>901</v>
      </c>
      <c r="C5" s="221" t="s">
        <v>67</v>
      </c>
      <c r="D5" s="144">
        <v>261668.08</v>
      </c>
      <c r="E5" s="144">
        <v>0</v>
      </c>
      <c r="F5" s="144">
        <v>261668.08</v>
      </c>
      <c r="G5" s="144">
        <v>0</v>
      </c>
    </row>
    <row r="6" spans="1:7" x14ac:dyDescent="0.3">
      <c r="A6" s="103" t="s">
        <v>491</v>
      </c>
      <c r="B6" s="103" t="s">
        <v>1299</v>
      </c>
      <c r="C6" s="221" t="s">
        <v>123</v>
      </c>
      <c r="D6" s="144">
        <v>15970845.630000001</v>
      </c>
      <c r="E6" s="144">
        <v>10331280.539999999</v>
      </c>
      <c r="F6" s="144">
        <v>15970845.630000001</v>
      </c>
      <c r="G6" s="144">
        <v>10331281</v>
      </c>
    </row>
    <row r="7" spans="1:7" x14ac:dyDescent="0.3">
      <c r="A7" s="103" t="s">
        <v>304</v>
      </c>
      <c r="B7" s="103" t="s">
        <v>414</v>
      </c>
      <c r="C7" s="221" t="s">
        <v>484</v>
      </c>
      <c r="D7" s="144">
        <v>614271</v>
      </c>
      <c r="E7" s="144">
        <v>0</v>
      </c>
      <c r="F7" s="144">
        <v>614271</v>
      </c>
      <c r="G7" s="144">
        <v>0</v>
      </c>
    </row>
    <row r="8" spans="1:7" x14ac:dyDescent="0.3">
      <c r="A8" s="103" t="s">
        <v>350</v>
      </c>
      <c r="B8" s="103" t="s">
        <v>815</v>
      </c>
      <c r="C8" s="221" t="s">
        <v>452</v>
      </c>
      <c r="D8" s="135">
        <v>0</v>
      </c>
      <c r="E8" s="144">
        <v>0</v>
      </c>
      <c r="F8" s="135">
        <v>0</v>
      </c>
      <c r="G8" s="144">
        <v>0</v>
      </c>
    </row>
    <row r="9" spans="1:7" x14ac:dyDescent="0.3">
      <c r="A9" s="103" t="s">
        <v>1324</v>
      </c>
      <c r="B9" s="103" t="s">
        <v>460</v>
      </c>
      <c r="C9" s="221" t="s">
        <v>573</v>
      </c>
      <c r="D9" s="144">
        <v>200300.95</v>
      </c>
      <c r="E9" s="144">
        <v>37402.29</v>
      </c>
      <c r="F9" s="144">
        <v>200300.95</v>
      </c>
      <c r="G9" s="144">
        <v>37402</v>
      </c>
    </row>
    <row r="10" spans="1:7" x14ac:dyDescent="0.3">
      <c r="A10" s="103" t="s">
        <v>542</v>
      </c>
      <c r="B10" s="103" t="s">
        <v>750</v>
      </c>
      <c r="C10" s="221" t="s">
        <v>598</v>
      </c>
      <c r="D10" s="144">
        <v>39930.550000000003</v>
      </c>
      <c r="E10" s="144">
        <v>9641.83</v>
      </c>
      <c r="F10" s="144">
        <v>39930.550000000003</v>
      </c>
      <c r="G10" s="144">
        <v>9642</v>
      </c>
    </row>
    <row r="11" spans="1:7" x14ac:dyDescent="0.3">
      <c r="A11" s="103" t="s">
        <v>1008</v>
      </c>
      <c r="B11" s="103" t="s">
        <v>1319</v>
      </c>
      <c r="C11" s="221" t="s">
        <v>396</v>
      </c>
      <c r="D11" s="144">
        <v>16977094.239999998</v>
      </c>
      <c r="E11" s="144">
        <v>12961420.640000001</v>
      </c>
      <c r="F11" s="144">
        <v>16977094.239999998</v>
      </c>
      <c r="G11" s="144">
        <v>12961420</v>
      </c>
    </row>
    <row r="12" spans="1:7" x14ac:dyDescent="0.3">
      <c r="A12" s="103" t="s">
        <v>942</v>
      </c>
      <c r="B12" s="103" t="s">
        <v>711</v>
      </c>
      <c r="C12" s="221" t="s">
        <v>966</v>
      </c>
      <c r="D12" s="135">
        <v>0</v>
      </c>
      <c r="E12" s="144">
        <v>2653452.5099999998</v>
      </c>
      <c r="F12" s="135">
        <v>0</v>
      </c>
      <c r="G12" s="144">
        <v>2653453</v>
      </c>
    </row>
    <row r="13" spans="1:7" x14ac:dyDescent="0.3">
      <c r="A13" s="103" t="s">
        <v>372</v>
      </c>
      <c r="B13" s="103" t="s">
        <v>730</v>
      </c>
      <c r="C13" s="221" t="s">
        <v>1313</v>
      </c>
      <c r="D13" s="144">
        <v>4252094.82</v>
      </c>
      <c r="E13" s="144">
        <v>4174926.73</v>
      </c>
      <c r="F13" s="144">
        <v>4252094.82</v>
      </c>
      <c r="G13" s="144">
        <v>4174927</v>
      </c>
    </row>
    <row r="14" spans="1:7" x14ac:dyDescent="0.3">
      <c r="A14" s="103" t="s">
        <v>351</v>
      </c>
      <c r="B14" s="103" t="s">
        <v>710</v>
      </c>
      <c r="C14" s="221" t="s">
        <v>447</v>
      </c>
      <c r="D14" s="135">
        <v>0</v>
      </c>
      <c r="E14" s="144">
        <v>0</v>
      </c>
      <c r="F14" s="135">
        <v>0</v>
      </c>
      <c r="G14" s="144">
        <v>0</v>
      </c>
    </row>
    <row r="15" spans="1:7" x14ac:dyDescent="0.3">
      <c r="A15" s="103" t="s">
        <v>181</v>
      </c>
      <c r="B15" s="103" t="s">
        <v>498</v>
      </c>
      <c r="C15" s="221" t="s">
        <v>1310</v>
      </c>
      <c r="D15" s="144">
        <v>11178301</v>
      </c>
      <c r="E15" s="144">
        <v>4922734.1500000004</v>
      </c>
      <c r="F15" s="144">
        <v>11178301</v>
      </c>
      <c r="G15" s="144">
        <v>4922733</v>
      </c>
    </row>
    <row r="16" spans="1:7" x14ac:dyDescent="0.3">
      <c r="A16" s="103" t="s">
        <v>930</v>
      </c>
      <c r="B16" s="103" t="s">
        <v>786</v>
      </c>
      <c r="C16" s="221" t="s">
        <v>1282</v>
      </c>
      <c r="D16" s="144">
        <v>1139875.25</v>
      </c>
      <c r="E16" s="144">
        <v>879124.2</v>
      </c>
      <c r="F16" s="144">
        <v>1139875.25</v>
      </c>
      <c r="G16" s="144">
        <v>879124</v>
      </c>
    </row>
    <row r="17" spans="1:7" x14ac:dyDescent="0.3">
      <c r="A17" s="103" t="s">
        <v>956</v>
      </c>
      <c r="B17" s="103" t="s">
        <v>468</v>
      </c>
      <c r="C17" s="221" t="s">
        <v>431</v>
      </c>
      <c r="D17" s="144">
        <v>822552.04</v>
      </c>
      <c r="E17" s="144">
        <v>620075.31000000006</v>
      </c>
      <c r="F17" s="144">
        <v>822552.04</v>
      </c>
      <c r="G17" s="144">
        <v>620075</v>
      </c>
    </row>
    <row r="18" spans="1:7" x14ac:dyDescent="0.3">
      <c r="A18" s="103" t="s">
        <v>1042</v>
      </c>
      <c r="B18" s="103" t="s">
        <v>1179</v>
      </c>
      <c r="C18" s="221" t="s">
        <v>892</v>
      </c>
      <c r="D18" s="135">
        <v>0</v>
      </c>
      <c r="E18" s="144">
        <v>0</v>
      </c>
      <c r="F18" s="135">
        <v>0</v>
      </c>
      <c r="G18" s="144">
        <v>0</v>
      </c>
    </row>
    <row r="19" spans="1:7" x14ac:dyDescent="0.3">
      <c r="A19" s="103" t="s">
        <v>239</v>
      </c>
      <c r="B19" s="103" t="s">
        <v>426</v>
      </c>
      <c r="C19" s="221" t="s">
        <v>1325</v>
      </c>
      <c r="D19" s="144">
        <v>298914.11</v>
      </c>
      <c r="E19" s="144">
        <v>216334.35</v>
      </c>
      <c r="F19" s="144">
        <v>298914.11</v>
      </c>
      <c r="G19" s="144">
        <v>216334</v>
      </c>
    </row>
    <row r="20" spans="1:7" x14ac:dyDescent="0.3">
      <c r="A20" s="103" t="s">
        <v>440</v>
      </c>
      <c r="B20" s="103" t="s">
        <v>315</v>
      </c>
      <c r="C20" s="221" t="s">
        <v>378</v>
      </c>
      <c r="D20" s="144">
        <v>18409.099999999999</v>
      </c>
      <c r="E20" s="144">
        <v>42714.54</v>
      </c>
      <c r="F20" s="144">
        <v>18409.099999999999</v>
      </c>
      <c r="G20" s="144">
        <v>42715</v>
      </c>
    </row>
    <row r="21" spans="1:7" x14ac:dyDescent="0.3">
      <c r="A21" s="103" t="s">
        <v>884</v>
      </c>
      <c r="B21" s="103" t="s">
        <v>84</v>
      </c>
      <c r="C21" s="221" t="s">
        <v>1213</v>
      </c>
      <c r="D21" s="144">
        <v>9649.68</v>
      </c>
      <c r="E21" s="144">
        <v>27080.880000000001</v>
      </c>
      <c r="F21" s="144">
        <v>9649.68</v>
      </c>
      <c r="G21" s="144">
        <v>27081</v>
      </c>
    </row>
    <row r="22" spans="1:7" x14ac:dyDescent="0.3">
      <c r="A22" s="103" t="s">
        <v>920</v>
      </c>
      <c r="B22" s="103" t="s">
        <v>254</v>
      </c>
      <c r="C22" s="221" t="s">
        <v>575</v>
      </c>
      <c r="D22" s="144">
        <v>371554</v>
      </c>
      <c r="E22" s="144">
        <v>280684.71999999997</v>
      </c>
      <c r="F22" s="144">
        <v>371554</v>
      </c>
      <c r="G22" s="144">
        <v>280685</v>
      </c>
    </row>
    <row r="23" spans="1:7" x14ac:dyDescent="0.3">
      <c r="A23" s="103" t="s">
        <v>1173</v>
      </c>
      <c r="B23" s="103" t="s">
        <v>984</v>
      </c>
      <c r="C23" s="221" t="s">
        <v>1308</v>
      </c>
      <c r="D23" s="144">
        <v>371554</v>
      </c>
      <c r="E23" s="144">
        <v>280684.71999999997</v>
      </c>
      <c r="F23" s="144">
        <v>371554</v>
      </c>
      <c r="G23" s="144">
        <v>280685</v>
      </c>
    </row>
    <row r="24" spans="1:7" x14ac:dyDescent="0.3">
      <c r="A24" s="103" t="s">
        <v>1042</v>
      </c>
      <c r="B24" s="103" t="s">
        <v>427</v>
      </c>
      <c r="C24" s="221" t="s">
        <v>612</v>
      </c>
      <c r="D24" s="135">
        <v>0</v>
      </c>
      <c r="E24" s="144">
        <v>0</v>
      </c>
      <c r="F24" s="135">
        <v>0</v>
      </c>
      <c r="G24" s="144">
        <v>0</v>
      </c>
    </row>
    <row r="25" spans="1:7" x14ac:dyDescent="0.3">
      <c r="A25" s="103" t="s">
        <v>877</v>
      </c>
      <c r="B25" s="103" t="s">
        <v>197</v>
      </c>
      <c r="C25" s="221" t="s">
        <v>82</v>
      </c>
      <c r="D25" s="135">
        <v>0</v>
      </c>
      <c r="E25" s="144">
        <v>0</v>
      </c>
      <c r="F25" s="135">
        <v>0</v>
      </c>
      <c r="G25" s="144">
        <v>0</v>
      </c>
    </row>
    <row r="26" spans="1:7" x14ac:dyDescent="0.3">
      <c r="A26" s="103" t="s">
        <v>482</v>
      </c>
      <c r="B26" s="103" t="s">
        <v>1147</v>
      </c>
      <c r="C26" s="221" t="s">
        <v>534</v>
      </c>
      <c r="D26" s="135">
        <v>0</v>
      </c>
      <c r="E26" s="144">
        <v>0</v>
      </c>
      <c r="F26" s="135">
        <v>0</v>
      </c>
      <c r="G26" s="144">
        <v>0</v>
      </c>
    </row>
    <row r="27" spans="1:7" x14ac:dyDescent="0.3">
      <c r="A27" s="103" t="s">
        <v>432</v>
      </c>
      <c r="B27" s="103" t="s">
        <v>646</v>
      </c>
      <c r="C27" s="221" t="s">
        <v>164</v>
      </c>
      <c r="D27" s="144">
        <v>25619.49</v>
      </c>
      <c r="E27" s="144">
        <v>23417.45</v>
      </c>
      <c r="F27" s="144">
        <v>25619.49</v>
      </c>
      <c r="G27" s="144">
        <v>23417</v>
      </c>
    </row>
    <row r="28" spans="1:7" x14ac:dyDescent="0.3">
      <c r="A28" s="103" t="s">
        <v>1034</v>
      </c>
      <c r="B28" s="103" t="s">
        <v>149</v>
      </c>
      <c r="C28" s="221" t="s">
        <v>596</v>
      </c>
      <c r="D28" s="144">
        <v>109921.97</v>
      </c>
      <c r="E28" s="144">
        <v>71926.53</v>
      </c>
      <c r="F28" s="144">
        <v>109921.97</v>
      </c>
      <c r="G28" s="144">
        <v>71928</v>
      </c>
    </row>
    <row r="29" spans="1:7" x14ac:dyDescent="0.3">
      <c r="A29" s="103" t="s">
        <v>1327</v>
      </c>
      <c r="B29" s="103" t="s">
        <v>63</v>
      </c>
      <c r="C29" s="221" t="s">
        <v>469</v>
      </c>
      <c r="D29" s="144">
        <v>1416388.89</v>
      </c>
      <c r="E29" s="144">
        <v>1235189.6599999999</v>
      </c>
      <c r="F29" s="144">
        <v>1416388.89</v>
      </c>
      <c r="G29" s="144">
        <v>1235191</v>
      </c>
    </row>
    <row r="30" spans="1:7" x14ac:dyDescent="0.3">
      <c r="A30" s="103" t="s">
        <v>1008</v>
      </c>
      <c r="B30" s="103" t="s">
        <v>1236</v>
      </c>
      <c r="C30" s="221" t="s">
        <v>499</v>
      </c>
      <c r="D30" s="144">
        <v>15255.82</v>
      </c>
      <c r="E30" s="144">
        <v>23560.18</v>
      </c>
      <c r="F30" s="144">
        <v>15255.82</v>
      </c>
      <c r="G30" s="144">
        <v>23560</v>
      </c>
    </row>
    <row r="31" spans="1:7" x14ac:dyDescent="0.3">
      <c r="A31" s="103" t="s">
        <v>1321</v>
      </c>
      <c r="B31" s="103" t="s">
        <v>1304</v>
      </c>
      <c r="C31" s="221" t="s">
        <v>890</v>
      </c>
      <c r="D31" s="135">
        <v>0</v>
      </c>
      <c r="E31" s="144">
        <v>0</v>
      </c>
      <c r="F31" s="135">
        <v>0</v>
      </c>
      <c r="G31" s="144">
        <v>0</v>
      </c>
    </row>
    <row r="32" spans="1:7" x14ac:dyDescent="0.3">
      <c r="A32" s="103" t="s">
        <v>156</v>
      </c>
      <c r="B32" s="103" t="s">
        <v>443</v>
      </c>
      <c r="C32" s="221" t="s">
        <v>299</v>
      </c>
      <c r="D32" s="135">
        <v>0</v>
      </c>
      <c r="E32" s="144">
        <v>0</v>
      </c>
      <c r="F32" s="135">
        <v>0</v>
      </c>
      <c r="G32" s="144">
        <v>0</v>
      </c>
    </row>
    <row r="33" spans="1:7" x14ac:dyDescent="0.3">
      <c r="A33" s="103" t="s">
        <v>1079</v>
      </c>
      <c r="B33" s="103" t="s">
        <v>1322</v>
      </c>
      <c r="C33" s="221" t="s">
        <v>604</v>
      </c>
      <c r="D33" s="135">
        <v>0</v>
      </c>
      <c r="E33" s="144">
        <v>0</v>
      </c>
      <c r="F33" s="135">
        <v>0</v>
      </c>
      <c r="G33" s="144">
        <v>0</v>
      </c>
    </row>
    <row r="34" spans="1:7" x14ac:dyDescent="0.3">
      <c r="A34" s="103" t="s">
        <v>1042</v>
      </c>
      <c r="B34" s="103" t="s">
        <v>1155</v>
      </c>
      <c r="C34" s="221" t="s">
        <v>347</v>
      </c>
      <c r="D34" s="135">
        <v>0</v>
      </c>
      <c r="E34" s="144">
        <v>0</v>
      </c>
      <c r="F34" s="135">
        <v>0</v>
      </c>
      <c r="G34" s="144">
        <v>0</v>
      </c>
    </row>
    <row r="35" spans="1:7" x14ac:dyDescent="0.3">
      <c r="A35" s="103" t="s">
        <v>239</v>
      </c>
      <c r="B35" s="103" t="s">
        <v>670</v>
      </c>
      <c r="C35" s="221" t="s">
        <v>762</v>
      </c>
      <c r="D35" s="135">
        <v>0</v>
      </c>
      <c r="E35" s="144">
        <v>0</v>
      </c>
      <c r="F35" s="135">
        <v>0</v>
      </c>
      <c r="G35" s="144">
        <v>0</v>
      </c>
    </row>
    <row r="36" spans="1:7" x14ac:dyDescent="0.3">
      <c r="A36" s="103" t="s">
        <v>172</v>
      </c>
      <c r="B36" s="103" t="s">
        <v>212</v>
      </c>
      <c r="C36" s="221" t="s">
        <v>1106</v>
      </c>
      <c r="D36" s="135">
        <v>0</v>
      </c>
      <c r="E36" s="144">
        <v>0</v>
      </c>
      <c r="F36" s="135">
        <v>0</v>
      </c>
      <c r="G36" s="144">
        <v>0</v>
      </c>
    </row>
    <row r="37" spans="1:7" x14ac:dyDescent="0.3">
      <c r="A37" s="103" t="s">
        <v>810</v>
      </c>
      <c r="B37" s="103" t="s">
        <v>568</v>
      </c>
      <c r="C37" s="221" t="s">
        <v>231</v>
      </c>
      <c r="D37" s="135">
        <v>0</v>
      </c>
      <c r="E37" s="144">
        <v>0</v>
      </c>
      <c r="F37" s="135">
        <v>0</v>
      </c>
      <c r="G37" s="144">
        <v>0</v>
      </c>
    </row>
    <row r="38" spans="1:7" x14ac:dyDescent="0.3">
      <c r="A38" s="103" t="s">
        <v>1042</v>
      </c>
      <c r="B38" s="103" t="s">
        <v>1132</v>
      </c>
      <c r="C38" s="221" t="s">
        <v>115</v>
      </c>
      <c r="D38" s="135">
        <v>0</v>
      </c>
      <c r="E38" s="144">
        <v>0</v>
      </c>
      <c r="F38" s="135">
        <v>0</v>
      </c>
      <c r="G38" s="144">
        <v>0</v>
      </c>
    </row>
    <row r="39" spans="1:7" x14ac:dyDescent="0.3">
      <c r="A39" s="103" t="s">
        <v>239</v>
      </c>
      <c r="B39" s="103" t="s">
        <v>430</v>
      </c>
      <c r="C39" s="221" t="s">
        <v>300</v>
      </c>
      <c r="D39" s="135">
        <v>0</v>
      </c>
      <c r="E39" s="144">
        <v>0</v>
      </c>
      <c r="F39" s="135">
        <v>0</v>
      </c>
      <c r="G39" s="144">
        <v>0</v>
      </c>
    </row>
    <row r="40" spans="1:7" x14ac:dyDescent="0.3">
      <c r="A40" s="103" t="s">
        <v>697</v>
      </c>
      <c r="B40" s="103" t="s">
        <v>485</v>
      </c>
      <c r="C40" s="221" t="s">
        <v>1013</v>
      </c>
      <c r="D40" s="144">
        <v>185.18</v>
      </c>
      <c r="E40" s="144">
        <v>183.37</v>
      </c>
      <c r="F40" s="144">
        <v>185.18</v>
      </c>
      <c r="G40" s="144">
        <v>183</v>
      </c>
    </row>
    <row r="41" spans="1:7" x14ac:dyDescent="0.3">
      <c r="A41" s="103" t="s">
        <v>554</v>
      </c>
      <c r="B41" s="103" t="s">
        <v>1198</v>
      </c>
      <c r="C41" s="221" t="s">
        <v>625</v>
      </c>
      <c r="D41" s="135">
        <v>0</v>
      </c>
      <c r="E41" s="144">
        <v>0</v>
      </c>
      <c r="F41" s="135">
        <v>0</v>
      </c>
      <c r="G41" s="144">
        <v>0</v>
      </c>
    </row>
    <row r="42" spans="1:7" x14ac:dyDescent="0.3">
      <c r="A42" s="103" t="s">
        <v>1042</v>
      </c>
      <c r="B42" s="103" t="s">
        <v>907</v>
      </c>
      <c r="C42" s="221" t="s">
        <v>1265</v>
      </c>
      <c r="D42" s="144">
        <v>185.18</v>
      </c>
      <c r="E42" s="144">
        <v>183.37</v>
      </c>
      <c r="F42" s="144">
        <v>185.18</v>
      </c>
      <c r="G42" s="144">
        <v>183</v>
      </c>
    </row>
    <row r="43" spans="1:7" x14ac:dyDescent="0.3">
      <c r="A43" s="103" t="s">
        <v>739</v>
      </c>
      <c r="B43" s="103" t="s">
        <v>509</v>
      </c>
      <c r="C43" s="221" t="s">
        <v>1120</v>
      </c>
      <c r="D43" s="144">
        <v>11376.05</v>
      </c>
      <c r="E43" s="144">
        <v>10735.55</v>
      </c>
      <c r="F43" s="144">
        <v>11376.05</v>
      </c>
      <c r="G43" s="144">
        <v>10736</v>
      </c>
    </row>
    <row r="44" spans="1:7" x14ac:dyDescent="0.3">
      <c r="A44" s="103" t="s">
        <v>1170</v>
      </c>
      <c r="B44" s="103" t="s">
        <v>1103</v>
      </c>
      <c r="C44" s="221" t="s">
        <v>399</v>
      </c>
      <c r="D44" s="135">
        <v>0</v>
      </c>
      <c r="E44" s="144">
        <v>0</v>
      </c>
      <c r="F44" s="135">
        <v>0</v>
      </c>
      <c r="G44" s="144">
        <v>0</v>
      </c>
    </row>
    <row r="45" spans="1:7" x14ac:dyDescent="0.3">
      <c r="A45" s="103" t="s">
        <v>205</v>
      </c>
      <c r="B45" s="103" t="s">
        <v>286</v>
      </c>
      <c r="C45" s="221" t="s">
        <v>1081</v>
      </c>
      <c r="D45" s="144">
        <v>3694.59</v>
      </c>
      <c r="E45" s="144">
        <v>12641.26</v>
      </c>
      <c r="F45" s="144">
        <v>3694.59</v>
      </c>
      <c r="G45" s="144">
        <v>12641</v>
      </c>
    </row>
    <row r="46" spans="1:7" x14ac:dyDescent="0.3">
      <c r="A46" s="103" t="s">
        <v>1008</v>
      </c>
      <c r="B46" s="103" t="s">
        <v>998</v>
      </c>
      <c r="C46" s="221" t="s">
        <v>654</v>
      </c>
      <c r="D46" s="144">
        <v>55329.59</v>
      </c>
      <c r="E46" s="144">
        <v>77540.570000000007</v>
      </c>
      <c r="F46" s="144">
        <v>55329.59</v>
      </c>
      <c r="G46" s="144">
        <v>77541</v>
      </c>
    </row>
    <row r="47" spans="1:7" x14ac:dyDescent="0.3">
      <c r="A47" s="103" t="s">
        <v>353</v>
      </c>
      <c r="B47" s="103" t="s">
        <v>1003</v>
      </c>
      <c r="C47" s="221" t="s">
        <v>50</v>
      </c>
      <c r="D47" s="135">
        <v>0</v>
      </c>
      <c r="E47" s="144">
        <v>0</v>
      </c>
      <c r="F47" s="135">
        <v>0</v>
      </c>
      <c r="G47" s="144">
        <v>0</v>
      </c>
    </row>
    <row r="48" spans="1:7" x14ac:dyDescent="0.3">
      <c r="A48" s="103" t="s">
        <v>590</v>
      </c>
      <c r="B48" s="103" t="s">
        <v>540</v>
      </c>
      <c r="C48" s="221" t="s">
        <v>666</v>
      </c>
      <c r="D48" s="135">
        <v>0</v>
      </c>
      <c r="E48" s="144">
        <v>0</v>
      </c>
      <c r="F48" s="135">
        <v>0</v>
      </c>
      <c r="G48" s="144">
        <v>0</v>
      </c>
    </row>
    <row r="49" spans="1:7" x14ac:dyDescent="0.3">
      <c r="A49" s="103" t="s">
        <v>775</v>
      </c>
      <c r="B49" s="103" t="s">
        <v>337</v>
      </c>
      <c r="C49" s="221" t="s">
        <v>1239</v>
      </c>
      <c r="D49" s="135">
        <v>0</v>
      </c>
      <c r="E49" s="144">
        <v>0</v>
      </c>
      <c r="F49" s="135">
        <v>0</v>
      </c>
      <c r="G49" s="144">
        <v>0</v>
      </c>
    </row>
    <row r="50" spans="1:7" x14ac:dyDescent="0.3">
      <c r="A50" s="103" t="s">
        <v>495</v>
      </c>
      <c r="B50" s="103" t="s">
        <v>1167</v>
      </c>
      <c r="C50" s="221" t="s">
        <v>216</v>
      </c>
      <c r="D50" s="144">
        <v>200.36</v>
      </c>
      <c r="E50" s="144">
        <v>482.81</v>
      </c>
      <c r="F50" s="144">
        <v>200.36</v>
      </c>
      <c r="G50" s="144">
        <v>483</v>
      </c>
    </row>
    <row r="51" spans="1:7" x14ac:dyDescent="0.3">
      <c r="A51" s="103" t="s">
        <v>77</v>
      </c>
      <c r="B51" s="103" t="s">
        <v>1075</v>
      </c>
      <c r="C51" s="221" t="s">
        <v>1043</v>
      </c>
      <c r="D51" s="135">
        <v>0</v>
      </c>
      <c r="E51" s="144">
        <v>0</v>
      </c>
      <c r="F51" s="135">
        <v>0</v>
      </c>
      <c r="G51" s="144">
        <v>0</v>
      </c>
    </row>
    <row r="52" spans="1:7" x14ac:dyDescent="0.3">
      <c r="A52" s="103" t="s">
        <v>1042</v>
      </c>
      <c r="B52" s="103" t="s">
        <v>578</v>
      </c>
      <c r="C52" s="221" t="s">
        <v>45</v>
      </c>
      <c r="D52" s="144">
        <v>200.36</v>
      </c>
      <c r="E52" s="144">
        <v>482.81</v>
      </c>
      <c r="F52" s="144">
        <v>200.36</v>
      </c>
      <c r="G52" s="144">
        <v>483</v>
      </c>
    </row>
    <row r="53" spans="1:7" x14ac:dyDescent="0.3">
      <c r="A53" s="103" t="s">
        <v>1314</v>
      </c>
      <c r="B53" s="103" t="s">
        <v>136</v>
      </c>
      <c r="C53" s="221" t="s">
        <v>661</v>
      </c>
      <c r="D53" s="144">
        <v>16002.42</v>
      </c>
      <c r="E53" s="144">
        <v>45452.57</v>
      </c>
      <c r="F53" s="144">
        <v>16002.42</v>
      </c>
      <c r="G53" s="144">
        <v>45453</v>
      </c>
    </row>
    <row r="54" spans="1:7" x14ac:dyDescent="0.3">
      <c r="A54" s="103" t="s">
        <v>507</v>
      </c>
      <c r="B54" s="103" t="s">
        <v>545</v>
      </c>
      <c r="C54" s="221" t="s">
        <v>588</v>
      </c>
      <c r="D54" s="135">
        <v>0</v>
      </c>
      <c r="E54" s="144">
        <v>0</v>
      </c>
      <c r="F54" s="135">
        <v>0</v>
      </c>
      <c r="G54" s="144">
        <v>0</v>
      </c>
    </row>
    <row r="55" spans="1:7" x14ac:dyDescent="0.3">
      <c r="A55" s="103" t="s">
        <v>893</v>
      </c>
      <c r="B55" s="103" t="s">
        <v>475</v>
      </c>
      <c r="C55" s="221" t="s">
        <v>834</v>
      </c>
      <c r="D55" s="144">
        <v>39126.81</v>
      </c>
      <c r="E55" s="144">
        <v>31605.19</v>
      </c>
      <c r="F55" s="144">
        <v>39126.81</v>
      </c>
      <c r="G55" s="144">
        <v>31605</v>
      </c>
    </row>
    <row r="56" spans="1:7" x14ac:dyDescent="0.3">
      <c r="A56" s="103" t="s">
        <v>1034</v>
      </c>
      <c r="B56" s="103" t="s">
        <v>339</v>
      </c>
      <c r="C56" s="221" t="s">
        <v>1272</v>
      </c>
      <c r="D56" s="144">
        <v>-40073.769999999997</v>
      </c>
      <c r="E56" s="144">
        <v>-53980.39</v>
      </c>
      <c r="F56" s="144">
        <v>-40073.769999999997</v>
      </c>
      <c r="G56" s="144">
        <v>-53981</v>
      </c>
    </row>
    <row r="57" spans="1:7" x14ac:dyDescent="0.3">
      <c r="A57" s="103" t="s">
        <v>827</v>
      </c>
      <c r="B57" s="103" t="s">
        <v>1294</v>
      </c>
      <c r="C57" s="221" t="s">
        <v>226</v>
      </c>
      <c r="D57" s="144">
        <v>69848.2</v>
      </c>
      <c r="E57" s="144">
        <v>17946.14</v>
      </c>
      <c r="F57" s="144">
        <v>69848.2</v>
      </c>
      <c r="G57" s="144">
        <v>17947</v>
      </c>
    </row>
    <row r="58" spans="1:7" x14ac:dyDescent="0.3">
      <c r="A58" s="103" t="s">
        <v>924</v>
      </c>
      <c r="B58" s="103" t="s">
        <v>714</v>
      </c>
      <c r="C58" s="221" t="s">
        <v>340</v>
      </c>
      <c r="D58" s="144">
        <v>20971.41</v>
      </c>
      <c r="E58" s="144">
        <v>9636.58</v>
      </c>
      <c r="F58" s="144">
        <v>20971.41</v>
      </c>
      <c r="G58" s="144">
        <v>9637</v>
      </c>
    </row>
    <row r="59" spans="1:7" x14ac:dyDescent="0.3">
      <c r="A59" s="103" t="s">
        <v>564</v>
      </c>
      <c r="B59" s="103" t="s">
        <v>897</v>
      </c>
      <c r="C59" s="221" t="s">
        <v>651</v>
      </c>
      <c r="D59" s="144">
        <v>20971.41</v>
      </c>
      <c r="E59" s="144">
        <v>13077.58</v>
      </c>
      <c r="F59" s="144">
        <v>20971.41</v>
      </c>
      <c r="G59" s="144">
        <v>13078</v>
      </c>
    </row>
    <row r="60" spans="1:7" x14ac:dyDescent="0.3">
      <c r="A60" s="103" t="s">
        <v>1042</v>
      </c>
      <c r="B60" s="103" t="s">
        <v>245</v>
      </c>
      <c r="C60" s="221" t="s">
        <v>662</v>
      </c>
      <c r="D60" s="135">
        <v>0</v>
      </c>
      <c r="E60" s="144">
        <v>-3441</v>
      </c>
      <c r="F60" s="135">
        <v>0</v>
      </c>
      <c r="G60" s="144">
        <v>-3441</v>
      </c>
    </row>
    <row r="61" spans="1:7" x14ac:dyDescent="0.3">
      <c r="A61" s="103" t="s">
        <v>1305</v>
      </c>
      <c r="B61" s="103" t="s">
        <v>520</v>
      </c>
      <c r="C61" s="221" t="s">
        <v>671</v>
      </c>
      <c r="D61" s="135">
        <v>0</v>
      </c>
      <c r="E61" s="144">
        <v>0</v>
      </c>
      <c r="F61" s="135">
        <v>0</v>
      </c>
      <c r="G61" s="144">
        <v>0</v>
      </c>
    </row>
    <row r="62" spans="1:7" x14ac:dyDescent="0.3">
      <c r="A62" s="103" t="s">
        <v>827</v>
      </c>
      <c r="B62" s="103" t="s">
        <v>1115</v>
      </c>
      <c r="C62" s="221" t="s">
        <v>963</v>
      </c>
      <c r="D62" s="144">
        <v>48876.79</v>
      </c>
      <c r="E62" s="144">
        <v>8309.56</v>
      </c>
      <c r="F62" s="144">
        <v>48876.79</v>
      </c>
      <c r="G62" s="144">
        <v>8310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45" zoomScaleNormal="100" zoomScaleSheetLayoutView="100" workbookViewId="0"/>
  </sheetViews>
  <sheetFormatPr defaultColWidth="9.109375" defaultRowHeight="14.4" x14ac:dyDescent="0.3"/>
  <cols>
    <col min="1" max="1" width="8.33203125" style="2" customWidth="1"/>
    <col min="2" max="2" width="86.109375" style="2" customWidth="1"/>
    <col min="3" max="3" width="4.44140625" style="58" customWidth="1"/>
    <col min="4" max="7" width="15.33203125" style="236" customWidth="1"/>
    <col min="8" max="16384" width="9.109375" style="112"/>
  </cols>
  <sheetData>
    <row r="1" spans="1:7" ht="30.6" x14ac:dyDescent="0.3">
      <c r="A1" s="11" t="s">
        <v>743</v>
      </c>
      <c r="B1" s="11" t="s">
        <v>793</v>
      </c>
      <c r="C1" s="51" t="s">
        <v>898</v>
      </c>
      <c r="D1" s="157" t="s">
        <v>1169</v>
      </c>
      <c r="E1" s="157" t="s">
        <v>1275</v>
      </c>
      <c r="F1" s="157" t="s">
        <v>349</v>
      </c>
      <c r="G1" s="157" t="s">
        <v>536</v>
      </c>
    </row>
    <row r="2" spans="1:7" x14ac:dyDescent="0.3">
      <c r="A2" s="70" t="s">
        <v>1327</v>
      </c>
      <c r="B2" s="70" t="s">
        <v>623</v>
      </c>
      <c r="C2" s="246" t="s">
        <v>606</v>
      </c>
      <c r="D2" s="162">
        <v>0</v>
      </c>
      <c r="E2" s="176">
        <v>0</v>
      </c>
      <c r="F2" s="162">
        <v>0</v>
      </c>
      <c r="G2" s="176">
        <v>0</v>
      </c>
    </row>
    <row r="3" spans="1:7" x14ac:dyDescent="0.3">
      <c r="A3" s="70" t="s">
        <v>1008</v>
      </c>
      <c r="B3" s="70" t="s">
        <v>107</v>
      </c>
      <c r="C3" s="246" t="s">
        <v>1216</v>
      </c>
      <c r="D3" s="144">
        <v>13033347.17</v>
      </c>
      <c r="E3" s="144">
        <v>8747490.2300000004</v>
      </c>
      <c r="F3" s="144">
        <v>13033347.17</v>
      </c>
      <c r="G3" s="144">
        <v>8747490</v>
      </c>
    </row>
    <row r="4" spans="1:7" x14ac:dyDescent="0.3">
      <c r="A4" s="70" t="s">
        <v>482</v>
      </c>
      <c r="B4" s="70" t="s">
        <v>117</v>
      </c>
      <c r="C4" s="246" t="s">
        <v>585</v>
      </c>
      <c r="D4" s="176">
        <v>2655022.5099999998</v>
      </c>
      <c r="E4" s="176">
        <v>0</v>
      </c>
      <c r="F4" s="176">
        <v>2655022.5099999998</v>
      </c>
      <c r="G4" s="176">
        <v>0</v>
      </c>
    </row>
    <row r="5" spans="1:7" x14ac:dyDescent="0.3">
      <c r="A5" s="70" t="s">
        <v>607</v>
      </c>
      <c r="B5" s="70" t="s">
        <v>901</v>
      </c>
      <c r="C5" s="246" t="s">
        <v>67</v>
      </c>
      <c r="D5" s="162">
        <v>0</v>
      </c>
      <c r="E5" s="176">
        <v>0</v>
      </c>
      <c r="F5" s="162">
        <v>0</v>
      </c>
      <c r="G5" s="176">
        <v>0</v>
      </c>
    </row>
    <row r="6" spans="1:7" x14ac:dyDescent="0.3">
      <c r="A6" s="70" t="s">
        <v>491</v>
      </c>
      <c r="B6" s="70" t="s">
        <v>1299</v>
      </c>
      <c r="C6" s="246" t="s">
        <v>123</v>
      </c>
      <c r="D6" s="176">
        <v>10331280.539999999</v>
      </c>
      <c r="E6" s="176">
        <v>8678803.8000000007</v>
      </c>
      <c r="F6" s="176">
        <v>10331280.539999999</v>
      </c>
      <c r="G6" s="176">
        <v>8678804</v>
      </c>
    </row>
    <row r="7" spans="1:7" x14ac:dyDescent="0.3">
      <c r="A7" s="70" t="s">
        <v>304</v>
      </c>
      <c r="B7" s="70" t="s">
        <v>414</v>
      </c>
      <c r="C7" s="246" t="s">
        <v>484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3">
      <c r="A8" s="70" t="s">
        <v>350</v>
      </c>
      <c r="B8" s="70" t="s">
        <v>815</v>
      </c>
      <c r="C8" s="246" t="s">
        <v>452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3">
      <c r="A9" s="70" t="s">
        <v>1324</v>
      </c>
      <c r="B9" s="70" t="s">
        <v>460</v>
      </c>
      <c r="C9" s="246" t="s">
        <v>573</v>
      </c>
      <c r="D9" s="176">
        <v>37402.29</v>
      </c>
      <c r="E9" s="176">
        <v>56745.08</v>
      </c>
      <c r="F9" s="176">
        <v>37402.29</v>
      </c>
      <c r="G9" s="176">
        <v>56745</v>
      </c>
    </row>
    <row r="10" spans="1:7" x14ac:dyDescent="0.3">
      <c r="A10" s="70" t="s">
        <v>542</v>
      </c>
      <c r="B10" s="70" t="s">
        <v>750</v>
      </c>
      <c r="C10" s="246" t="s">
        <v>598</v>
      </c>
      <c r="D10" s="176">
        <v>9641.83</v>
      </c>
      <c r="E10" s="176">
        <v>11941.35</v>
      </c>
      <c r="F10" s="176">
        <v>9641.83</v>
      </c>
      <c r="G10" s="176">
        <v>11941</v>
      </c>
    </row>
    <row r="11" spans="1:7" x14ac:dyDescent="0.3">
      <c r="A11" s="70" t="s">
        <v>1008</v>
      </c>
      <c r="B11" s="70" t="s">
        <v>1319</v>
      </c>
      <c r="C11" s="246" t="s">
        <v>396</v>
      </c>
      <c r="D11" s="176">
        <v>12961420.640000001</v>
      </c>
      <c r="E11" s="176">
        <v>8759879.9700000007</v>
      </c>
      <c r="F11" s="176">
        <v>12961420.640000001</v>
      </c>
      <c r="G11" s="176">
        <v>8759879</v>
      </c>
    </row>
    <row r="12" spans="1:7" x14ac:dyDescent="0.3">
      <c r="A12" s="70" t="s">
        <v>942</v>
      </c>
      <c r="B12" s="70" t="s">
        <v>711</v>
      </c>
      <c r="C12" s="246" t="s">
        <v>966</v>
      </c>
      <c r="D12" s="176">
        <v>2653452.5099999998</v>
      </c>
      <c r="E12" s="176">
        <v>0</v>
      </c>
      <c r="F12" s="176">
        <v>2653452.5099999998</v>
      </c>
      <c r="G12" s="176">
        <v>0</v>
      </c>
    </row>
    <row r="13" spans="1:7" x14ac:dyDescent="0.3">
      <c r="A13" s="70" t="s">
        <v>372</v>
      </c>
      <c r="B13" s="70" t="s">
        <v>730</v>
      </c>
      <c r="C13" s="246" t="s">
        <v>1313</v>
      </c>
      <c r="D13" s="176">
        <v>4174926.73</v>
      </c>
      <c r="E13" s="176">
        <v>4101741.77</v>
      </c>
      <c r="F13" s="176">
        <v>4174926.73</v>
      </c>
      <c r="G13" s="176">
        <v>4101742</v>
      </c>
    </row>
    <row r="14" spans="1:7" x14ac:dyDescent="0.3">
      <c r="A14" s="70" t="s">
        <v>351</v>
      </c>
      <c r="B14" s="70" t="s">
        <v>710</v>
      </c>
      <c r="C14" s="246" t="s">
        <v>447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3">
      <c r="A15" s="70" t="s">
        <v>181</v>
      </c>
      <c r="B15" s="70" t="s">
        <v>498</v>
      </c>
      <c r="C15" s="246" t="s">
        <v>1310</v>
      </c>
      <c r="D15" s="176">
        <v>4922734.1500000004</v>
      </c>
      <c r="E15" s="176">
        <v>3456371.92</v>
      </c>
      <c r="F15" s="176">
        <v>4922734.1500000004</v>
      </c>
      <c r="G15" s="176">
        <v>3456370</v>
      </c>
    </row>
    <row r="16" spans="1:7" x14ac:dyDescent="0.3">
      <c r="A16" s="70" t="s">
        <v>930</v>
      </c>
      <c r="B16" s="70" t="s">
        <v>786</v>
      </c>
      <c r="C16" s="246" t="s">
        <v>1282</v>
      </c>
      <c r="D16" s="176">
        <v>879124.2</v>
      </c>
      <c r="E16" s="176">
        <v>782705.61</v>
      </c>
      <c r="F16" s="176">
        <v>879124.2</v>
      </c>
      <c r="G16" s="176">
        <v>782706</v>
      </c>
    </row>
    <row r="17" spans="1:7" x14ac:dyDescent="0.3">
      <c r="A17" s="70" t="s">
        <v>956</v>
      </c>
      <c r="B17" s="70" t="s">
        <v>468</v>
      </c>
      <c r="C17" s="246" t="s">
        <v>431</v>
      </c>
      <c r="D17" s="176">
        <v>620075.31000000006</v>
      </c>
      <c r="E17" s="176">
        <v>549715.49</v>
      </c>
      <c r="F17" s="176">
        <v>620075.31000000006</v>
      </c>
      <c r="G17" s="176">
        <v>549715</v>
      </c>
    </row>
    <row r="18" spans="1:7" x14ac:dyDescent="0.3">
      <c r="A18" s="70" t="s">
        <v>1042</v>
      </c>
      <c r="B18" s="70" t="s">
        <v>1179</v>
      </c>
      <c r="C18" s="246" t="s">
        <v>892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3">
      <c r="A19" s="70" t="s">
        <v>239</v>
      </c>
      <c r="B19" s="70" t="s">
        <v>426</v>
      </c>
      <c r="C19" s="246" t="s">
        <v>1325</v>
      </c>
      <c r="D19" s="176">
        <v>216334.35</v>
      </c>
      <c r="E19" s="176">
        <v>191972.53</v>
      </c>
      <c r="F19" s="176">
        <v>216334.35</v>
      </c>
      <c r="G19" s="176">
        <v>191973</v>
      </c>
    </row>
    <row r="20" spans="1:7" x14ac:dyDescent="0.3">
      <c r="A20" s="70" t="s">
        <v>440</v>
      </c>
      <c r="B20" s="70" t="s">
        <v>315</v>
      </c>
      <c r="C20" s="246" t="s">
        <v>378</v>
      </c>
      <c r="D20" s="176">
        <v>42714.54</v>
      </c>
      <c r="E20" s="176">
        <v>41017.589999999997</v>
      </c>
      <c r="F20" s="176">
        <v>42714.54</v>
      </c>
      <c r="G20" s="176">
        <v>41018</v>
      </c>
    </row>
    <row r="21" spans="1:7" x14ac:dyDescent="0.3">
      <c r="A21" s="70" t="s">
        <v>884</v>
      </c>
      <c r="B21" s="70" t="s">
        <v>84</v>
      </c>
      <c r="C21" s="246" t="s">
        <v>1213</v>
      </c>
      <c r="D21" s="176">
        <v>27080.880000000001</v>
      </c>
      <c r="E21" s="176">
        <v>21558.62</v>
      </c>
      <c r="F21" s="176">
        <v>27080.880000000001</v>
      </c>
      <c r="G21" s="176">
        <v>21559</v>
      </c>
    </row>
    <row r="22" spans="1:7" x14ac:dyDescent="0.3">
      <c r="A22" s="70" t="s">
        <v>920</v>
      </c>
      <c r="B22" s="70" t="s">
        <v>254</v>
      </c>
      <c r="C22" s="246" t="s">
        <v>575</v>
      </c>
      <c r="D22" s="176">
        <v>280684.71999999997</v>
      </c>
      <c r="E22" s="176">
        <v>351860.02</v>
      </c>
      <c r="F22" s="176">
        <v>280684.71999999997</v>
      </c>
      <c r="G22" s="176">
        <v>351860</v>
      </c>
    </row>
    <row r="23" spans="1:7" x14ac:dyDescent="0.3">
      <c r="A23" s="70" t="s">
        <v>1173</v>
      </c>
      <c r="B23" s="70" t="s">
        <v>984</v>
      </c>
      <c r="C23" s="246" t="s">
        <v>1308</v>
      </c>
      <c r="D23" s="176">
        <v>280684.71999999997</v>
      </c>
      <c r="E23" s="176">
        <v>351860.02</v>
      </c>
      <c r="F23" s="176">
        <v>280684.71999999997</v>
      </c>
      <c r="G23" s="176">
        <v>351860</v>
      </c>
    </row>
    <row r="24" spans="1:7" x14ac:dyDescent="0.3">
      <c r="A24" s="70" t="s">
        <v>1042</v>
      </c>
      <c r="B24" s="70" t="s">
        <v>427</v>
      </c>
      <c r="C24" s="246" t="s">
        <v>612</v>
      </c>
      <c r="D24" s="162">
        <v>0</v>
      </c>
      <c r="E24" s="176">
        <v>0</v>
      </c>
      <c r="F24" s="162">
        <v>0</v>
      </c>
      <c r="G24" s="176">
        <v>0</v>
      </c>
    </row>
    <row r="25" spans="1:7" x14ac:dyDescent="0.3">
      <c r="A25" s="70" t="s">
        <v>877</v>
      </c>
      <c r="B25" s="70" t="s">
        <v>197</v>
      </c>
      <c r="C25" s="246" t="s">
        <v>82</v>
      </c>
      <c r="D25" s="162">
        <v>0</v>
      </c>
      <c r="E25" s="176">
        <v>19611</v>
      </c>
      <c r="F25" s="162">
        <v>0</v>
      </c>
      <c r="G25" s="176">
        <v>19611</v>
      </c>
    </row>
    <row r="26" spans="1:7" x14ac:dyDescent="0.3">
      <c r="A26" s="70" t="s">
        <v>482</v>
      </c>
      <c r="B26" s="70" t="s">
        <v>1147</v>
      </c>
      <c r="C26" s="246" t="s">
        <v>534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3">
      <c r="A27" s="70" t="s">
        <v>432</v>
      </c>
      <c r="B27" s="70" t="s">
        <v>646</v>
      </c>
      <c r="C27" s="246" t="s">
        <v>164</v>
      </c>
      <c r="D27" s="176">
        <v>23417.45</v>
      </c>
      <c r="E27" s="176">
        <v>26031.03</v>
      </c>
      <c r="F27" s="176">
        <v>23417.45</v>
      </c>
      <c r="G27" s="176">
        <v>26031</v>
      </c>
    </row>
    <row r="28" spans="1:7" x14ac:dyDescent="0.3">
      <c r="A28" s="70" t="s">
        <v>1034</v>
      </c>
      <c r="B28" s="70" t="s">
        <v>149</v>
      </c>
      <c r="C28" s="246" t="s">
        <v>596</v>
      </c>
      <c r="D28" s="176">
        <v>71926.53</v>
      </c>
      <c r="E28" s="176">
        <v>-12389.74</v>
      </c>
      <c r="F28" s="176">
        <v>71926.53</v>
      </c>
      <c r="G28" s="176">
        <v>-12389</v>
      </c>
    </row>
    <row r="29" spans="1:7" x14ac:dyDescent="0.3">
      <c r="A29" s="70" t="s">
        <v>1327</v>
      </c>
      <c r="B29" s="70" t="s">
        <v>63</v>
      </c>
      <c r="C29" s="246" t="s">
        <v>469</v>
      </c>
      <c r="D29" s="176">
        <v>1235189.6599999999</v>
      </c>
      <c r="E29" s="176">
        <v>1120690.1100000001</v>
      </c>
      <c r="F29" s="176">
        <v>1235189.6599999999</v>
      </c>
      <c r="G29" s="176">
        <v>1120692</v>
      </c>
    </row>
    <row r="30" spans="1:7" x14ac:dyDescent="0.3">
      <c r="A30" s="70" t="s">
        <v>1008</v>
      </c>
      <c r="B30" s="70" t="s">
        <v>1236</v>
      </c>
      <c r="C30" s="246" t="s">
        <v>499</v>
      </c>
      <c r="D30" s="176">
        <v>23560.18</v>
      </c>
      <c r="E30" s="176">
        <v>37173.89</v>
      </c>
      <c r="F30" s="176">
        <v>23560.18</v>
      </c>
      <c r="G30" s="176">
        <v>37174</v>
      </c>
    </row>
    <row r="31" spans="1:7" x14ac:dyDescent="0.3">
      <c r="A31" s="70" t="s">
        <v>1321</v>
      </c>
      <c r="B31" s="70" t="s">
        <v>1304</v>
      </c>
      <c r="C31" s="246" t="s">
        <v>890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3">
      <c r="A32" s="70" t="s">
        <v>156</v>
      </c>
      <c r="B32" s="70" t="s">
        <v>443</v>
      </c>
      <c r="C32" s="246" t="s">
        <v>299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3">
      <c r="A33" s="70" t="s">
        <v>1079</v>
      </c>
      <c r="B33" s="70" t="s">
        <v>1322</v>
      </c>
      <c r="C33" s="246" t="s">
        <v>604</v>
      </c>
      <c r="D33" s="162">
        <v>0</v>
      </c>
      <c r="E33" s="176">
        <v>0</v>
      </c>
      <c r="F33" s="162">
        <v>0</v>
      </c>
      <c r="G33" s="176">
        <v>0</v>
      </c>
    </row>
    <row r="34" spans="1:7" x14ac:dyDescent="0.3">
      <c r="A34" s="70" t="s">
        <v>1042</v>
      </c>
      <c r="B34" s="70" t="s">
        <v>1155</v>
      </c>
      <c r="C34" s="246" t="s">
        <v>347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3">
      <c r="A35" s="70" t="s">
        <v>239</v>
      </c>
      <c r="B35" s="70" t="s">
        <v>670</v>
      </c>
      <c r="C35" s="246" t="s">
        <v>762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3">
      <c r="A36" s="70" t="s">
        <v>172</v>
      </c>
      <c r="B36" s="70" t="s">
        <v>212</v>
      </c>
      <c r="C36" s="246" t="s">
        <v>1106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3">
      <c r="A37" s="70" t="s">
        <v>810</v>
      </c>
      <c r="B37" s="70" t="s">
        <v>568</v>
      </c>
      <c r="C37" s="246" t="s">
        <v>231</v>
      </c>
      <c r="D37" s="162">
        <v>0</v>
      </c>
      <c r="E37" s="176">
        <v>0</v>
      </c>
      <c r="F37" s="162">
        <v>0</v>
      </c>
      <c r="G37" s="176">
        <v>0</v>
      </c>
    </row>
    <row r="38" spans="1:7" x14ac:dyDescent="0.3">
      <c r="A38" s="70" t="s">
        <v>1042</v>
      </c>
      <c r="B38" s="70" t="s">
        <v>1132</v>
      </c>
      <c r="C38" s="246" t="s">
        <v>115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3">
      <c r="A39" s="70" t="s">
        <v>239</v>
      </c>
      <c r="B39" s="70" t="s">
        <v>430</v>
      </c>
      <c r="C39" s="246" t="s">
        <v>300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3">
      <c r="A40" s="70" t="s">
        <v>697</v>
      </c>
      <c r="B40" s="70" t="s">
        <v>485</v>
      </c>
      <c r="C40" s="246" t="s">
        <v>1013</v>
      </c>
      <c r="D40" s="176">
        <v>183.37</v>
      </c>
      <c r="E40" s="176">
        <v>368.79</v>
      </c>
      <c r="F40" s="176">
        <v>183.37</v>
      </c>
      <c r="G40" s="176">
        <v>369</v>
      </c>
    </row>
    <row r="41" spans="1:7" x14ac:dyDescent="0.3">
      <c r="A41" s="70" t="s">
        <v>554</v>
      </c>
      <c r="B41" s="70" t="s">
        <v>1198</v>
      </c>
      <c r="C41" s="246" t="s">
        <v>625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3">
      <c r="A42" s="70" t="s">
        <v>1042</v>
      </c>
      <c r="B42" s="70" t="s">
        <v>907</v>
      </c>
      <c r="C42" s="246" t="s">
        <v>1265</v>
      </c>
      <c r="D42" s="176">
        <v>183.37</v>
      </c>
      <c r="E42" s="176">
        <v>368.79</v>
      </c>
      <c r="F42" s="176">
        <v>183.37</v>
      </c>
      <c r="G42" s="176">
        <v>369</v>
      </c>
    </row>
    <row r="43" spans="1:7" x14ac:dyDescent="0.3">
      <c r="A43" s="70" t="s">
        <v>739</v>
      </c>
      <c r="B43" s="70" t="s">
        <v>509</v>
      </c>
      <c r="C43" s="246" t="s">
        <v>1120</v>
      </c>
      <c r="D43" s="176">
        <v>10735.55</v>
      </c>
      <c r="E43" s="176">
        <v>12009.38</v>
      </c>
      <c r="F43" s="176">
        <v>10735.55</v>
      </c>
      <c r="G43" s="176">
        <v>12009</v>
      </c>
    </row>
    <row r="44" spans="1:7" x14ac:dyDescent="0.3">
      <c r="A44" s="70" t="s">
        <v>1170</v>
      </c>
      <c r="B44" s="70" t="s">
        <v>1103</v>
      </c>
      <c r="C44" s="246" t="s">
        <v>399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3">
      <c r="A45" s="70" t="s">
        <v>205</v>
      </c>
      <c r="B45" s="70" t="s">
        <v>286</v>
      </c>
      <c r="C45" s="246" t="s">
        <v>1081</v>
      </c>
      <c r="D45" s="176">
        <v>12641.26</v>
      </c>
      <c r="E45" s="176">
        <v>24795.72</v>
      </c>
      <c r="F45" s="176">
        <v>12641.26</v>
      </c>
      <c r="G45" s="176">
        <v>24796</v>
      </c>
    </row>
    <row r="46" spans="1:7" x14ac:dyDescent="0.3">
      <c r="A46" s="70" t="s">
        <v>1008</v>
      </c>
      <c r="B46" s="70" t="s">
        <v>998</v>
      </c>
      <c r="C46" s="246" t="s">
        <v>654</v>
      </c>
      <c r="D46" s="176">
        <v>77540.570000000007</v>
      </c>
      <c r="E46" s="176">
        <v>46639.13</v>
      </c>
      <c r="F46" s="176">
        <v>77540.570000000007</v>
      </c>
      <c r="G46" s="176">
        <v>46640</v>
      </c>
    </row>
    <row r="47" spans="1:7" x14ac:dyDescent="0.3">
      <c r="A47" s="70" t="s">
        <v>353</v>
      </c>
      <c r="B47" s="70" t="s">
        <v>1003</v>
      </c>
      <c r="C47" s="246" t="s">
        <v>50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3">
      <c r="A48" s="70" t="s">
        <v>590</v>
      </c>
      <c r="B48" s="70" t="s">
        <v>540</v>
      </c>
      <c r="C48" s="246" t="s">
        <v>666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3">
      <c r="A49" s="70" t="s">
        <v>775</v>
      </c>
      <c r="B49" s="70" t="s">
        <v>337</v>
      </c>
      <c r="C49" s="246" t="s">
        <v>1239</v>
      </c>
      <c r="D49" s="162">
        <v>0</v>
      </c>
      <c r="E49" s="176">
        <v>0</v>
      </c>
      <c r="F49" s="162">
        <v>0</v>
      </c>
      <c r="G49" s="176">
        <v>0</v>
      </c>
    </row>
    <row r="50" spans="1:7" x14ac:dyDescent="0.3">
      <c r="A50" s="70" t="s">
        <v>495</v>
      </c>
      <c r="B50" s="70" t="s">
        <v>1167</v>
      </c>
      <c r="C50" s="246" t="s">
        <v>216</v>
      </c>
      <c r="D50" s="176">
        <v>482.81</v>
      </c>
      <c r="E50" s="176">
        <v>1653.51</v>
      </c>
      <c r="F50" s="176">
        <v>482.81</v>
      </c>
      <c r="G50" s="176">
        <v>1654</v>
      </c>
    </row>
    <row r="51" spans="1:7" x14ac:dyDescent="0.3">
      <c r="A51" s="70" t="s">
        <v>77</v>
      </c>
      <c r="B51" s="70" t="s">
        <v>1075</v>
      </c>
      <c r="C51" s="246" t="s">
        <v>1043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3">
      <c r="A52" s="70" t="s">
        <v>1042</v>
      </c>
      <c r="B52" s="70" t="s">
        <v>578</v>
      </c>
      <c r="C52" s="246" t="s">
        <v>45</v>
      </c>
      <c r="D52" s="176">
        <v>482.81</v>
      </c>
      <c r="E52" s="176">
        <v>1653.51</v>
      </c>
      <c r="F52" s="176">
        <v>482.81</v>
      </c>
      <c r="G52" s="176">
        <v>1654</v>
      </c>
    </row>
    <row r="53" spans="1:7" x14ac:dyDescent="0.3">
      <c r="A53" s="70" t="s">
        <v>1314</v>
      </c>
      <c r="B53" s="70" t="s">
        <v>136</v>
      </c>
      <c r="C53" s="246" t="s">
        <v>661</v>
      </c>
      <c r="D53" s="176">
        <v>45452.57</v>
      </c>
      <c r="E53" s="176">
        <v>22179.59</v>
      </c>
      <c r="F53" s="176">
        <v>45452.57</v>
      </c>
      <c r="G53" s="176">
        <v>22180</v>
      </c>
    </row>
    <row r="54" spans="1:7" x14ac:dyDescent="0.3">
      <c r="A54" s="70" t="s">
        <v>507</v>
      </c>
      <c r="B54" s="70" t="s">
        <v>545</v>
      </c>
      <c r="C54" s="246" t="s">
        <v>588</v>
      </c>
      <c r="D54" s="162">
        <v>0</v>
      </c>
      <c r="E54" s="176">
        <v>0</v>
      </c>
      <c r="F54" s="162">
        <v>0</v>
      </c>
      <c r="G54" s="176">
        <v>0</v>
      </c>
    </row>
    <row r="55" spans="1:7" x14ac:dyDescent="0.3">
      <c r="A55" s="70" t="s">
        <v>893</v>
      </c>
      <c r="B55" s="70" t="s">
        <v>475</v>
      </c>
      <c r="C55" s="246" t="s">
        <v>834</v>
      </c>
      <c r="D55" s="176">
        <v>31605.19</v>
      </c>
      <c r="E55" s="176">
        <v>22806.03</v>
      </c>
      <c r="F55" s="176">
        <v>31605.19</v>
      </c>
      <c r="G55" s="176">
        <v>22806</v>
      </c>
    </row>
    <row r="56" spans="1:7" x14ac:dyDescent="0.3">
      <c r="A56" s="70" t="s">
        <v>1034</v>
      </c>
      <c r="B56" s="70" t="s">
        <v>339</v>
      </c>
      <c r="C56" s="246" t="s">
        <v>1272</v>
      </c>
      <c r="D56" s="176">
        <v>-53980.39</v>
      </c>
      <c r="E56" s="176">
        <v>-9465.24</v>
      </c>
      <c r="F56" s="176">
        <v>-53980.39</v>
      </c>
      <c r="G56" s="176">
        <v>-9466</v>
      </c>
    </row>
    <row r="57" spans="1:7" x14ac:dyDescent="0.3">
      <c r="A57" s="70" t="s">
        <v>827</v>
      </c>
      <c r="B57" s="70" t="s">
        <v>1294</v>
      </c>
      <c r="C57" s="246" t="s">
        <v>226</v>
      </c>
      <c r="D57" s="176">
        <v>17946.14</v>
      </c>
      <c r="E57" s="176">
        <v>-21854.98</v>
      </c>
      <c r="F57" s="176">
        <v>17946.14</v>
      </c>
      <c r="G57" s="176">
        <v>-21855</v>
      </c>
    </row>
    <row r="58" spans="1:7" x14ac:dyDescent="0.3">
      <c r="A58" s="70" t="s">
        <v>924</v>
      </c>
      <c r="B58" s="70" t="s">
        <v>714</v>
      </c>
      <c r="C58" s="246" t="s">
        <v>340</v>
      </c>
      <c r="D58" s="176">
        <v>9636.58</v>
      </c>
      <c r="E58" s="176">
        <v>974.15</v>
      </c>
      <c r="F58" s="176">
        <v>9636.58</v>
      </c>
      <c r="G58" s="176">
        <v>974</v>
      </c>
    </row>
    <row r="59" spans="1:7" x14ac:dyDescent="0.3">
      <c r="A59" s="70" t="s">
        <v>564</v>
      </c>
      <c r="B59" s="70" t="s">
        <v>897</v>
      </c>
      <c r="C59" s="246" t="s">
        <v>651</v>
      </c>
      <c r="D59" s="176">
        <v>13077.58</v>
      </c>
      <c r="E59" s="176">
        <v>4992.1499999999996</v>
      </c>
      <c r="F59" s="176">
        <v>13077.58</v>
      </c>
      <c r="G59" s="176">
        <v>4992</v>
      </c>
    </row>
    <row r="60" spans="1:7" x14ac:dyDescent="0.3">
      <c r="A60" s="70" t="s">
        <v>1042</v>
      </c>
      <c r="B60" s="70" t="s">
        <v>245</v>
      </c>
      <c r="C60" s="246" t="s">
        <v>662</v>
      </c>
      <c r="D60" s="176">
        <v>-3441</v>
      </c>
      <c r="E60" s="176">
        <v>-4018</v>
      </c>
      <c r="F60" s="176">
        <v>-3441</v>
      </c>
      <c r="G60" s="176">
        <v>-4018</v>
      </c>
    </row>
    <row r="61" spans="1:7" x14ac:dyDescent="0.3">
      <c r="A61" s="70" t="s">
        <v>1305</v>
      </c>
      <c r="B61" s="70" t="s">
        <v>520</v>
      </c>
      <c r="C61" s="246" t="s">
        <v>671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3">
      <c r="A62" s="70" t="s">
        <v>827</v>
      </c>
      <c r="B62" s="70" t="s">
        <v>1115</v>
      </c>
      <c r="C62" s="246" t="s">
        <v>963</v>
      </c>
      <c r="D62" s="176">
        <v>8309.56</v>
      </c>
      <c r="E62" s="176">
        <v>-22829.13</v>
      </c>
      <c r="F62" s="176">
        <v>8309.56</v>
      </c>
      <c r="G62" s="176">
        <v>-22829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zoomScaleNormal="100" zoomScaleSheetLayoutView="100" workbookViewId="0"/>
  </sheetViews>
  <sheetFormatPr defaultColWidth="9.109375" defaultRowHeight="14.4" x14ac:dyDescent="0.3"/>
  <cols>
    <col min="1" max="1" width="8.33203125" style="181" customWidth="1"/>
    <col min="2" max="2" width="63.5546875" style="181" customWidth="1"/>
    <col min="3" max="3" width="4.44140625" style="147" customWidth="1"/>
    <col min="4" max="11" width="15.33203125" style="6" customWidth="1"/>
    <col min="12" max="16384" width="9.109375" style="112"/>
  </cols>
  <sheetData>
    <row r="1" spans="1:11" ht="20.399999999999999" x14ac:dyDescent="0.3">
      <c r="A1" s="11" t="s">
        <v>743</v>
      </c>
      <c r="B1" s="11" t="s">
        <v>555</v>
      </c>
      <c r="C1" s="51" t="s">
        <v>898</v>
      </c>
      <c r="D1" s="157" t="s">
        <v>1264</v>
      </c>
      <c r="E1" s="157" t="s">
        <v>1257</v>
      </c>
      <c r="F1" s="157" t="s">
        <v>323</v>
      </c>
      <c r="G1" s="157" t="s">
        <v>731</v>
      </c>
      <c r="H1" s="157" t="s">
        <v>343</v>
      </c>
      <c r="I1" s="157" t="s">
        <v>562</v>
      </c>
      <c r="J1" s="157" t="s">
        <v>744</v>
      </c>
      <c r="K1" s="157" t="s">
        <v>536</v>
      </c>
    </row>
    <row r="2" spans="1:11" x14ac:dyDescent="0.3">
      <c r="A2" s="103" t="s">
        <v>1110</v>
      </c>
      <c r="B2" s="103" t="s">
        <v>1250</v>
      </c>
      <c r="C2" s="221" t="s">
        <v>1076</v>
      </c>
      <c r="D2" s="144">
        <v>10622756.060000001</v>
      </c>
      <c r="E2" s="144">
        <v>4076402.2</v>
      </c>
      <c r="F2" s="144">
        <v>6546353.8600000003</v>
      </c>
      <c r="G2" s="144">
        <v>7802533.9299999997</v>
      </c>
      <c r="H2" s="144">
        <v>10622756.060000001</v>
      </c>
      <c r="I2" s="144">
        <v>4076402.2</v>
      </c>
      <c r="J2" s="144">
        <v>6546353.8600000003</v>
      </c>
      <c r="K2" s="144">
        <v>7802534</v>
      </c>
    </row>
    <row r="3" spans="1:11" x14ac:dyDescent="0.3">
      <c r="A3" s="103" t="s">
        <v>942</v>
      </c>
      <c r="B3" s="103" t="s">
        <v>1217</v>
      </c>
      <c r="C3" s="221" t="s">
        <v>466</v>
      </c>
      <c r="D3" s="144">
        <v>6053849.0499999998</v>
      </c>
      <c r="E3" s="144">
        <v>3920426.28</v>
      </c>
      <c r="F3" s="144">
        <v>2133422.77</v>
      </c>
      <c r="G3" s="144">
        <v>1824381.15</v>
      </c>
      <c r="H3" s="144">
        <v>6053849.0499999998</v>
      </c>
      <c r="I3" s="144">
        <v>3920426.28</v>
      </c>
      <c r="J3" s="144">
        <v>2133422.77</v>
      </c>
      <c r="K3" s="144">
        <v>1824381</v>
      </c>
    </row>
    <row r="4" spans="1:11" x14ac:dyDescent="0.3">
      <c r="A4" s="103" t="s">
        <v>1168</v>
      </c>
      <c r="B4" s="103" t="s">
        <v>693</v>
      </c>
      <c r="C4" s="221" t="s">
        <v>86</v>
      </c>
      <c r="D4" s="144">
        <v>45419.8</v>
      </c>
      <c r="E4" s="144">
        <v>28244.73</v>
      </c>
      <c r="F4" s="144">
        <v>17175.07</v>
      </c>
      <c r="G4" s="144">
        <v>23945.07</v>
      </c>
      <c r="H4" s="144">
        <v>45419.8</v>
      </c>
      <c r="I4" s="144">
        <v>28244.73</v>
      </c>
      <c r="J4" s="144">
        <v>17175.07</v>
      </c>
      <c r="K4" s="144">
        <v>23945</v>
      </c>
    </row>
    <row r="5" spans="1:11" x14ac:dyDescent="0.3">
      <c r="A5" s="103" t="s">
        <v>753</v>
      </c>
      <c r="B5" s="103" t="s">
        <v>837</v>
      </c>
      <c r="C5" s="221" t="s">
        <v>148</v>
      </c>
      <c r="D5" s="135">
        <v>0</v>
      </c>
      <c r="E5" s="135">
        <v>0</v>
      </c>
      <c r="F5" s="135">
        <v>0</v>
      </c>
      <c r="G5" s="144">
        <v>0</v>
      </c>
      <c r="H5" s="135">
        <v>0</v>
      </c>
      <c r="I5" s="135">
        <v>0</v>
      </c>
      <c r="J5" s="135">
        <v>0</v>
      </c>
      <c r="K5" s="144">
        <v>0</v>
      </c>
    </row>
    <row r="6" spans="1:11" x14ac:dyDescent="0.3">
      <c r="A6" s="103" t="s">
        <v>1042</v>
      </c>
      <c r="B6" s="103" t="s">
        <v>785</v>
      </c>
      <c r="C6" s="221" t="s">
        <v>546</v>
      </c>
      <c r="D6" s="144">
        <v>45419.8</v>
      </c>
      <c r="E6" s="144">
        <v>28244.73</v>
      </c>
      <c r="F6" s="144">
        <v>17175.07</v>
      </c>
      <c r="G6" s="144">
        <v>23945.07</v>
      </c>
      <c r="H6" s="144">
        <v>45419.8</v>
      </c>
      <c r="I6" s="144">
        <v>28244.73</v>
      </c>
      <c r="J6" s="144">
        <v>17175.07</v>
      </c>
      <c r="K6" s="144">
        <v>23945</v>
      </c>
    </row>
    <row r="7" spans="1:11" x14ac:dyDescent="0.3">
      <c r="A7" s="103" t="s">
        <v>239</v>
      </c>
      <c r="B7" s="103" t="s">
        <v>770</v>
      </c>
      <c r="C7" s="221" t="s">
        <v>758</v>
      </c>
      <c r="D7" s="135">
        <v>0</v>
      </c>
      <c r="E7" s="135">
        <v>0</v>
      </c>
      <c r="F7" s="135">
        <v>0</v>
      </c>
      <c r="G7" s="144">
        <v>0</v>
      </c>
      <c r="H7" s="135">
        <v>0</v>
      </c>
      <c r="I7" s="135">
        <v>0</v>
      </c>
      <c r="J7" s="135">
        <v>0</v>
      </c>
      <c r="K7" s="144">
        <v>0</v>
      </c>
    </row>
    <row r="8" spans="1:11" x14ac:dyDescent="0.3">
      <c r="A8" s="103" t="s">
        <v>440</v>
      </c>
      <c r="B8" s="103" t="s">
        <v>853</v>
      </c>
      <c r="C8" s="221" t="s">
        <v>847</v>
      </c>
      <c r="D8" s="135">
        <v>0</v>
      </c>
      <c r="E8" s="135">
        <v>0</v>
      </c>
      <c r="F8" s="135">
        <v>0</v>
      </c>
      <c r="G8" s="144">
        <v>0</v>
      </c>
      <c r="H8" s="135">
        <v>0</v>
      </c>
      <c r="I8" s="135">
        <v>0</v>
      </c>
      <c r="J8" s="135">
        <v>0</v>
      </c>
      <c r="K8" s="144">
        <v>0</v>
      </c>
    </row>
    <row r="9" spans="1:11" x14ac:dyDescent="0.3">
      <c r="A9" s="103" t="s">
        <v>543</v>
      </c>
      <c r="B9" s="103" t="s">
        <v>583</v>
      </c>
      <c r="C9" s="221" t="s">
        <v>1029</v>
      </c>
      <c r="D9" s="135">
        <v>0</v>
      </c>
      <c r="E9" s="135">
        <v>0</v>
      </c>
      <c r="F9" s="135">
        <v>0</v>
      </c>
      <c r="G9" s="144">
        <v>0</v>
      </c>
      <c r="H9" s="135">
        <v>0</v>
      </c>
      <c r="I9" s="135">
        <v>0</v>
      </c>
      <c r="J9" s="135">
        <v>0</v>
      </c>
      <c r="K9" s="144">
        <v>0</v>
      </c>
    </row>
    <row r="10" spans="1:11" x14ac:dyDescent="0.3">
      <c r="A10" s="103" t="s">
        <v>1045</v>
      </c>
      <c r="B10" s="103" t="s">
        <v>496</v>
      </c>
      <c r="C10" s="221" t="s">
        <v>644</v>
      </c>
      <c r="D10" s="135">
        <v>0</v>
      </c>
      <c r="E10" s="135">
        <v>0</v>
      </c>
      <c r="F10" s="135">
        <v>0</v>
      </c>
      <c r="G10" s="144">
        <v>0</v>
      </c>
      <c r="H10" s="135">
        <v>0</v>
      </c>
      <c r="I10" s="135">
        <v>0</v>
      </c>
      <c r="J10" s="135">
        <v>0</v>
      </c>
      <c r="K10" s="144">
        <v>0</v>
      </c>
    </row>
    <row r="11" spans="1:11" x14ac:dyDescent="0.3">
      <c r="A11" s="103" t="s">
        <v>1099</v>
      </c>
      <c r="B11" s="103" t="s">
        <v>601</v>
      </c>
      <c r="C11" s="221" t="s">
        <v>1056</v>
      </c>
      <c r="D11" s="135">
        <v>0</v>
      </c>
      <c r="E11" s="135">
        <v>0</v>
      </c>
      <c r="F11" s="135">
        <v>0</v>
      </c>
      <c r="G11" s="144">
        <v>0</v>
      </c>
      <c r="H11" s="135">
        <v>0</v>
      </c>
      <c r="I11" s="135">
        <v>0</v>
      </c>
      <c r="J11" s="135">
        <v>0</v>
      </c>
      <c r="K11" s="144">
        <v>0</v>
      </c>
    </row>
    <row r="12" spans="1:11" x14ac:dyDescent="0.3">
      <c r="A12" s="103" t="s">
        <v>93</v>
      </c>
      <c r="B12" s="103" t="s">
        <v>1031</v>
      </c>
      <c r="C12" s="221" t="s">
        <v>1038</v>
      </c>
      <c r="D12" s="144">
        <v>6008429.25</v>
      </c>
      <c r="E12" s="144">
        <v>3892181.55</v>
      </c>
      <c r="F12" s="144">
        <v>2116247.7000000002</v>
      </c>
      <c r="G12" s="144">
        <v>1800436.08</v>
      </c>
      <c r="H12" s="144">
        <v>6008429.25</v>
      </c>
      <c r="I12" s="144">
        <v>3892181.55</v>
      </c>
      <c r="J12" s="144">
        <v>2116247.7000000002</v>
      </c>
      <c r="K12" s="144">
        <v>1800436</v>
      </c>
    </row>
    <row r="13" spans="1:11" x14ac:dyDescent="0.3">
      <c r="A13" s="103" t="s">
        <v>561</v>
      </c>
      <c r="B13" s="103" t="s">
        <v>28</v>
      </c>
      <c r="C13" s="221" t="s">
        <v>406</v>
      </c>
      <c r="D13" s="144">
        <v>99914.42</v>
      </c>
      <c r="E13" s="135">
        <v>0</v>
      </c>
      <c r="F13" s="144">
        <v>99914.42</v>
      </c>
      <c r="G13" s="144">
        <v>99914.42</v>
      </c>
      <c r="H13" s="144">
        <v>99914.42</v>
      </c>
      <c r="I13" s="135">
        <v>0</v>
      </c>
      <c r="J13" s="144">
        <v>99914.42</v>
      </c>
      <c r="K13" s="144">
        <v>99914</v>
      </c>
    </row>
    <row r="14" spans="1:11" x14ac:dyDescent="0.3">
      <c r="A14" s="103" t="s">
        <v>1042</v>
      </c>
      <c r="B14" s="103" t="s">
        <v>572</v>
      </c>
      <c r="C14" s="221" t="s">
        <v>152</v>
      </c>
      <c r="D14" s="144">
        <v>1323885.77</v>
      </c>
      <c r="E14" s="144">
        <v>785582</v>
      </c>
      <c r="F14" s="144">
        <v>538303.77</v>
      </c>
      <c r="G14" s="144">
        <v>604170.76</v>
      </c>
      <c r="H14" s="144">
        <v>1323885.77</v>
      </c>
      <c r="I14" s="144">
        <v>785582</v>
      </c>
      <c r="J14" s="144">
        <v>538303.77</v>
      </c>
      <c r="K14" s="144">
        <v>604171</v>
      </c>
    </row>
    <row r="15" spans="1:11" x14ac:dyDescent="0.3">
      <c r="A15" s="103" t="s">
        <v>239</v>
      </c>
      <c r="B15" s="103" t="s">
        <v>811</v>
      </c>
      <c r="C15" s="221" t="s">
        <v>133</v>
      </c>
      <c r="D15" s="144">
        <v>4066633.66</v>
      </c>
      <c r="E15" s="144">
        <v>3106599.55</v>
      </c>
      <c r="F15" s="144">
        <v>960034.11</v>
      </c>
      <c r="G15" s="144">
        <v>659584.21</v>
      </c>
      <c r="H15" s="144">
        <v>4066633.66</v>
      </c>
      <c r="I15" s="144">
        <v>3106599.55</v>
      </c>
      <c r="J15" s="144">
        <v>960034.11</v>
      </c>
      <c r="K15" s="144">
        <v>659584</v>
      </c>
    </row>
    <row r="16" spans="1:11" x14ac:dyDescent="0.3">
      <c r="A16" s="103" t="s">
        <v>440</v>
      </c>
      <c r="B16" s="103" t="s">
        <v>1241</v>
      </c>
      <c r="C16" s="221" t="s">
        <v>608</v>
      </c>
      <c r="D16" s="135">
        <v>0</v>
      </c>
      <c r="E16" s="135">
        <v>0</v>
      </c>
      <c r="F16" s="135">
        <v>0</v>
      </c>
      <c r="G16" s="144">
        <v>0</v>
      </c>
      <c r="H16" s="135">
        <v>0</v>
      </c>
      <c r="I16" s="135">
        <v>0</v>
      </c>
      <c r="J16" s="135">
        <v>0</v>
      </c>
      <c r="K16" s="144">
        <v>0</v>
      </c>
    </row>
    <row r="17" spans="1:11" x14ac:dyDescent="0.3">
      <c r="A17" s="103" t="s">
        <v>543</v>
      </c>
      <c r="B17" s="103" t="s">
        <v>1086</v>
      </c>
      <c r="C17" s="221" t="s">
        <v>649</v>
      </c>
      <c r="D17" s="135">
        <v>0</v>
      </c>
      <c r="E17" s="135">
        <v>0</v>
      </c>
      <c r="F17" s="135">
        <v>0</v>
      </c>
      <c r="G17" s="144">
        <v>0</v>
      </c>
      <c r="H17" s="135">
        <v>0</v>
      </c>
      <c r="I17" s="135">
        <v>0</v>
      </c>
      <c r="J17" s="135">
        <v>0</v>
      </c>
      <c r="K17" s="144">
        <v>0</v>
      </c>
    </row>
    <row r="18" spans="1:11" x14ac:dyDescent="0.3">
      <c r="A18" s="103" t="s">
        <v>1045</v>
      </c>
      <c r="B18" s="103" t="s">
        <v>293</v>
      </c>
      <c r="C18" s="221" t="s">
        <v>504</v>
      </c>
      <c r="D18" s="135">
        <v>0</v>
      </c>
      <c r="E18" s="135">
        <v>0</v>
      </c>
      <c r="F18" s="135">
        <v>0</v>
      </c>
      <c r="G18" s="144">
        <v>0</v>
      </c>
      <c r="H18" s="135">
        <v>0</v>
      </c>
      <c r="I18" s="135">
        <v>0</v>
      </c>
      <c r="J18" s="135">
        <v>0</v>
      </c>
      <c r="K18" s="144">
        <v>0</v>
      </c>
    </row>
    <row r="19" spans="1:11" x14ac:dyDescent="0.3">
      <c r="A19" s="103" t="s">
        <v>1099</v>
      </c>
      <c r="B19" s="103" t="s">
        <v>1328</v>
      </c>
      <c r="C19" s="221" t="s">
        <v>22</v>
      </c>
      <c r="D19" s="144">
        <v>517995.4</v>
      </c>
      <c r="E19" s="135">
        <v>0</v>
      </c>
      <c r="F19" s="144">
        <v>517995.4</v>
      </c>
      <c r="G19" s="144">
        <v>436766.69</v>
      </c>
      <c r="H19" s="144">
        <v>517995.4</v>
      </c>
      <c r="I19" s="135">
        <v>0</v>
      </c>
      <c r="J19" s="144">
        <v>517995.4</v>
      </c>
      <c r="K19" s="144">
        <v>436767</v>
      </c>
    </row>
    <row r="20" spans="1:11" x14ac:dyDescent="0.3">
      <c r="A20" s="103" t="s">
        <v>999</v>
      </c>
      <c r="B20" s="103" t="s">
        <v>260</v>
      </c>
      <c r="C20" s="221" t="s">
        <v>1208</v>
      </c>
      <c r="D20" s="135">
        <v>0</v>
      </c>
      <c r="E20" s="135">
        <v>0</v>
      </c>
      <c r="F20" s="135">
        <v>0</v>
      </c>
      <c r="G20" s="144">
        <v>0</v>
      </c>
      <c r="H20" s="135">
        <v>0</v>
      </c>
      <c r="I20" s="135">
        <v>0</v>
      </c>
      <c r="J20" s="135">
        <v>0</v>
      </c>
      <c r="K20" s="144">
        <v>0</v>
      </c>
    </row>
    <row r="21" spans="1:11" x14ac:dyDescent="0.3">
      <c r="A21" s="103" t="s">
        <v>40</v>
      </c>
      <c r="B21" s="103" t="s">
        <v>1164</v>
      </c>
      <c r="C21" s="221" t="s">
        <v>321</v>
      </c>
      <c r="D21" s="135">
        <v>0</v>
      </c>
      <c r="E21" s="135">
        <v>0</v>
      </c>
      <c r="F21" s="135">
        <v>0</v>
      </c>
      <c r="G21" s="144">
        <v>0</v>
      </c>
      <c r="H21" s="135">
        <v>0</v>
      </c>
      <c r="I21" s="135">
        <v>0</v>
      </c>
      <c r="J21" s="135">
        <v>0</v>
      </c>
      <c r="K21" s="144">
        <v>0</v>
      </c>
    </row>
    <row r="22" spans="1:11" x14ac:dyDescent="0.3">
      <c r="A22" s="103" t="s">
        <v>1253</v>
      </c>
      <c r="B22" s="103" t="s">
        <v>330</v>
      </c>
      <c r="C22" s="221" t="s">
        <v>11</v>
      </c>
      <c r="D22" s="135">
        <v>0</v>
      </c>
      <c r="E22" s="135">
        <v>0</v>
      </c>
      <c r="F22" s="135">
        <v>0</v>
      </c>
      <c r="G22" s="144">
        <v>0</v>
      </c>
      <c r="H22" s="135">
        <v>0</v>
      </c>
      <c r="I22" s="135">
        <v>0</v>
      </c>
      <c r="J22" s="135">
        <v>0</v>
      </c>
      <c r="K22" s="144">
        <v>0</v>
      </c>
    </row>
    <row r="23" spans="1:11" x14ac:dyDescent="0.3">
      <c r="A23" s="103" t="s">
        <v>627</v>
      </c>
      <c r="B23" s="103" t="s">
        <v>1051</v>
      </c>
      <c r="C23" s="221" t="s">
        <v>978</v>
      </c>
      <c r="D23" s="135">
        <v>0</v>
      </c>
      <c r="E23" s="135">
        <v>0</v>
      </c>
      <c r="F23" s="135">
        <v>0</v>
      </c>
      <c r="G23" s="144">
        <v>0</v>
      </c>
      <c r="H23" s="135">
        <v>0</v>
      </c>
      <c r="I23" s="135">
        <v>0</v>
      </c>
      <c r="J23" s="135">
        <v>0</v>
      </c>
      <c r="K23" s="144">
        <v>0</v>
      </c>
    </row>
    <row r="24" spans="1:11" x14ac:dyDescent="0.3">
      <c r="A24" s="103" t="s">
        <v>1042</v>
      </c>
      <c r="B24" s="103" t="s">
        <v>357</v>
      </c>
      <c r="C24" s="221" t="s">
        <v>1177</v>
      </c>
      <c r="D24" s="135">
        <v>0</v>
      </c>
      <c r="E24" s="135">
        <v>0</v>
      </c>
      <c r="F24" s="135">
        <v>0</v>
      </c>
      <c r="G24" s="144">
        <v>0</v>
      </c>
      <c r="H24" s="135">
        <v>0</v>
      </c>
      <c r="I24" s="135">
        <v>0</v>
      </c>
      <c r="J24" s="135">
        <v>0</v>
      </c>
      <c r="K24" s="144">
        <v>0</v>
      </c>
    </row>
    <row r="25" spans="1:11" x14ac:dyDescent="0.3">
      <c r="A25" s="103" t="s">
        <v>239</v>
      </c>
      <c r="B25" s="103" t="s">
        <v>49</v>
      </c>
      <c r="C25" s="221" t="s">
        <v>634</v>
      </c>
      <c r="D25" s="135">
        <v>0</v>
      </c>
      <c r="E25" s="135">
        <v>0</v>
      </c>
      <c r="F25" s="135">
        <v>0</v>
      </c>
      <c r="G25" s="144">
        <v>0</v>
      </c>
      <c r="H25" s="135">
        <v>0</v>
      </c>
      <c r="I25" s="135">
        <v>0</v>
      </c>
      <c r="J25" s="135">
        <v>0</v>
      </c>
      <c r="K25" s="144">
        <v>0</v>
      </c>
    </row>
    <row r="26" spans="1:11" x14ac:dyDescent="0.3">
      <c r="A26" s="103" t="s">
        <v>440</v>
      </c>
      <c r="B26" s="103" t="s">
        <v>134</v>
      </c>
      <c r="C26" s="221" t="s">
        <v>653</v>
      </c>
      <c r="D26" s="135">
        <v>0</v>
      </c>
      <c r="E26" s="135">
        <v>0</v>
      </c>
      <c r="F26" s="135">
        <v>0</v>
      </c>
      <c r="G26" s="144">
        <v>0</v>
      </c>
      <c r="H26" s="135">
        <v>0</v>
      </c>
      <c r="I26" s="135">
        <v>0</v>
      </c>
      <c r="J26" s="135">
        <v>0</v>
      </c>
      <c r="K26" s="144">
        <v>0</v>
      </c>
    </row>
    <row r="27" spans="1:11" x14ac:dyDescent="0.3">
      <c r="A27" s="103" t="s">
        <v>543</v>
      </c>
      <c r="B27" s="103" t="s">
        <v>895</v>
      </c>
      <c r="C27" s="221" t="s">
        <v>64</v>
      </c>
      <c r="D27" s="135">
        <v>0</v>
      </c>
      <c r="E27" s="135">
        <v>0</v>
      </c>
      <c r="F27" s="135">
        <v>0</v>
      </c>
      <c r="G27" s="144">
        <v>0</v>
      </c>
      <c r="H27" s="135">
        <v>0</v>
      </c>
      <c r="I27" s="135">
        <v>0</v>
      </c>
      <c r="J27" s="135">
        <v>0</v>
      </c>
      <c r="K27" s="144">
        <v>0</v>
      </c>
    </row>
    <row r="28" spans="1:11" x14ac:dyDescent="0.3">
      <c r="A28" s="103" t="s">
        <v>1045</v>
      </c>
      <c r="B28" s="103" t="s">
        <v>915</v>
      </c>
      <c r="C28" s="221" t="s">
        <v>873</v>
      </c>
      <c r="D28" s="135">
        <v>0</v>
      </c>
      <c r="E28" s="135">
        <v>0</v>
      </c>
      <c r="F28" s="135">
        <v>0</v>
      </c>
      <c r="G28" s="144">
        <v>0</v>
      </c>
      <c r="H28" s="135">
        <v>0</v>
      </c>
      <c r="I28" s="135">
        <v>0</v>
      </c>
      <c r="J28" s="135">
        <v>0</v>
      </c>
      <c r="K28" s="144">
        <v>0</v>
      </c>
    </row>
    <row r="29" spans="1:11" x14ac:dyDescent="0.3">
      <c r="A29" s="103" t="s">
        <v>1099</v>
      </c>
      <c r="B29" s="103" t="s">
        <v>769</v>
      </c>
      <c r="C29" s="221" t="s">
        <v>1268</v>
      </c>
      <c r="D29" s="135">
        <v>0</v>
      </c>
      <c r="E29" s="135">
        <v>0</v>
      </c>
      <c r="F29" s="135">
        <v>0</v>
      </c>
      <c r="G29" s="144">
        <v>0</v>
      </c>
      <c r="H29" s="135">
        <v>0</v>
      </c>
      <c r="I29" s="135">
        <v>0</v>
      </c>
      <c r="J29" s="135">
        <v>0</v>
      </c>
      <c r="K29" s="144">
        <v>0</v>
      </c>
    </row>
    <row r="30" spans="1:11" x14ac:dyDescent="0.3">
      <c r="A30" s="103" t="s">
        <v>999</v>
      </c>
      <c r="B30" s="103" t="s">
        <v>1306</v>
      </c>
      <c r="C30" s="221" t="s">
        <v>1318</v>
      </c>
      <c r="D30" s="135">
        <v>0</v>
      </c>
      <c r="E30" s="135">
        <v>0</v>
      </c>
      <c r="F30" s="135">
        <v>0</v>
      </c>
      <c r="G30" s="144">
        <v>0</v>
      </c>
      <c r="H30" s="135">
        <v>0</v>
      </c>
      <c r="I30" s="135">
        <v>0</v>
      </c>
      <c r="J30" s="135">
        <v>0</v>
      </c>
      <c r="K30" s="144">
        <v>0</v>
      </c>
    </row>
    <row r="31" spans="1:11" x14ac:dyDescent="0.3">
      <c r="A31" s="103" t="s">
        <v>40</v>
      </c>
      <c r="B31" s="103" t="s">
        <v>885</v>
      </c>
      <c r="C31" s="221" t="s">
        <v>325</v>
      </c>
      <c r="D31" s="135">
        <v>0</v>
      </c>
      <c r="E31" s="135">
        <v>0</v>
      </c>
      <c r="F31" s="135">
        <v>0</v>
      </c>
      <c r="G31" s="144">
        <v>0</v>
      </c>
      <c r="H31" s="135">
        <v>0</v>
      </c>
      <c r="I31" s="135">
        <v>0</v>
      </c>
      <c r="J31" s="135">
        <v>0</v>
      </c>
      <c r="K31" s="144">
        <v>0</v>
      </c>
    </row>
    <row r="32" spans="1:11" x14ac:dyDescent="0.3">
      <c r="A32" s="103" t="s">
        <v>780</v>
      </c>
      <c r="B32" s="103" t="s">
        <v>126</v>
      </c>
      <c r="C32" s="221" t="s">
        <v>1175</v>
      </c>
      <c r="D32" s="135">
        <v>0</v>
      </c>
      <c r="E32" s="135">
        <v>0</v>
      </c>
      <c r="F32" s="135">
        <v>0</v>
      </c>
      <c r="G32" s="144">
        <v>0</v>
      </c>
      <c r="H32" s="135">
        <v>0</v>
      </c>
      <c r="I32" s="135">
        <v>0</v>
      </c>
      <c r="J32" s="135">
        <v>0</v>
      </c>
      <c r="K32" s="144">
        <v>0</v>
      </c>
    </row>
    <row r="33" spans="1:11" x14ac:dyDescent="0.3">
      <c r="A33" s="103" t="s">
        <v>928</v>
      </c>
      <c r="B33" s="103" t="s">
        <v>1266</v>
      </c>
      <c r="C33" s="221" t="s">
        <v>389</v>
      </c>
      <c r="D33" s="135">
        <v>0</v>
      </c>
      <c r="E33" s="135">
        <v>0</v>
      </c>
      <c r="F33" s="135">
        <v>0</v>
      </c>
      <c r="G33" s="144">
        <v>0</v>
      </c>
      <c r="H33" s="135">
        <v>0</v>
      </c>
      <c r="I33" s="135">
        <v>0</v>
      </c>
      <c r="J33" s="135">
        <v>0</v>
      </c>
      <c r="K33" s="144">
        <v>0</v>
      </c>
    </row>
    <row r="34" spans="1:11" x14ac:dyDescent="0.3">
      <c r="A34" s="103" t="s">
        <v>372</v>
      </c>
      <c r="B34" s="103" t="s">
        <v>361</v>
      </c>
      <c r="C34" s="221" t="s">
        <v>737</v>
      </c>
      <c r="D34" s="144">
        <v>4555038.25</v>
      </c>
      <c r="E34" s="144">
        <v>155975.92000000001</v>
      </c>
      <c r="F34" s="144">
        <v>4399062.33</v>
      </c>
      <c r="G34" s="144">
        <v>4400586.6500000004</v>
      </c>
      <c r="H34" s="144">
        <v>4555038.25</v>
      </c>
      <c r="I34" s="144">
        <v>155975.92000000001</v>
      </c>
      <c r="J34" s="144">
        <v>4399062.33</v>
      </c>
      <c r="K34" s="144">
        <v>4400587</v>
      </c>
    </row>
    <row r="35" spans="1:11" x14ac:dyDescent="0.3">
      <c r="A35" s="103" t="s">
        <v>1196</v>
      </c>
      <c r="B35" s="103" t="s">
        <v>618</v>
      </c>
      <c r="C35" s="221" t="s">
        <v>591</v>
      </c>
      <c r="D35" s="144">
        <v>1121677.95</v>
      </c>
      <c r="E35" s="135">
        <v>0</v>
      </c>
      <c r="F35" s="144">
        <v>1121677.95</v>
      </c>
      <c r="G35" s="144">
        <v>195705.62</v>
      </c>
      <c r="H35" s="144">
        <v>1121677.95</v>
      </c>
      <c r="I35" s="135">
        <v>0</v>
      </c>
      <c r="J35" s="144">
        <v>1121677.95</v>
      </c>
      <c r="K35" s="144">
        <v>195706</v>
      </c>
    </row>
    <row r="36" spans="1:11" x14ac:dyDescent="0.3">
      <c r="A36" s="103" t="s">
        <v>289</v>
      </c>
      <c r="B36" s="103" t="s">
        <v>982</v>
      </c>
      <c r="C36" s="221" t="s">
        <v>551</v>
      </c>
      <c r="D36" s="144">
        <v>507406.95</v>
      </c>
      <c r="E36" s="135">
        <v>0</v>
      </c>
      <c r="F36" s="144">
        <v>507406.95</v>
      </c>
      <c r="G36" s="144">
        <v>195705.62</v>
      </c>
      <c r="H36" s="144">
        <v>507406.95</v>
      </c>
      <c r="I36" s="135">
        <v>0</v>
      </c>
      <c r="J36" s="144">
        <v>507406.95</v>
      </c>
      <c r="K36" s="144">
        <v>195706</v>
      </c>
    </row>
    <row r="37" spans="1:11" x14ac:dyDescent="0.3">
      <c r="A37" s="103" t="s">
        <v>1042</v>
      </c>
      <c r="B37" s="103" t="s">
        <v>813</v>
      </c>
      <c r="C37" s="221" t="s">
        <v>563</v>
      </c>
      <c r="D37" s="144">
        <v>614271</v>
      </c>
      <c r="E37" s="135">
        <v>0</v>
      </c>
      <c r="F37" s="144">
        <v>614271</v>
      </c>
      <c r="G37" s="144">
        <v>0</v>
      </c>
      <c r="H37" s="144">
        <v>614271</v>
      </c>
      <c r="I37" s="135">
        <v>0</v>
      </c>
      <c r="J37" s="144">
        <v>614271</v>
      </c>
      <c r="K37" s="144">
        <v>0</v>
      </c>
    </row>
    <row r="38" spans="1:11" x14ac:dyDescent="0.3">
      <c r="A38" s="103" t="s">
        <v>239</v>
      </c>
      <c r="B38" s="103" t="s">
        <v>689</v>
      </c>
      <c r="C38" s="221" t="s">
        <v>699</v>
      </c>
      <c r="D38" s="135">
        <v>0</v>
      </c>
      <c r="E38" s="135">
        <v>0</v>
      </c>
      <c r="F38" s="135">
        <v>0</v>
      </c>
      <c r="G38" s="144">
        <v>0</v>
      </c>
      <c r="H38" s="135">
        <v>0</v>
      </c>
      <c r="I38" s="135">
        <v>0</v>
      </c>
      <c r="J38" s="135">
        <v>0</v>
      </c>
      <c r="K38" s="144">
        <v>0</v>
      </c>
    </row>
    <row r="39" spans="1:11" x14ac:dyDescent="0.3">
      <c r="A39" s="103" t="s">
        <v>440</v>
      </c>
      <c r="B39" s="103" t="s">
        <v>787</v>
      </c>
      <c r="C39" s="221" t="s">
        <v>201</v>
      </c>
      <c r="D39" s="135">
        <v>0</v>
      </c>
      <c r="E39" s="135">
        <v>0</v>
      </c>
      <c r="F39" s="135">
        <v>0</v>
      </c>
      <c r="G39" s="144">
        <v>0</v>
      </c>
      <c r="H39" s="135">
        <v>0</v>
      </c>
      <c r="I39" s="135">
        <v>0</v>
      </c>
      <c r="J39" s="135">
        <v>0</v>
      </c>
      <c r="K39" s="144">
        <v>0</v>
      </c>
    </row>
    <row r="40" spans="1:11" x14ac:dyDescent="0.3">
      <c r="A40" s="103" t="s">
        <v>543</v>
      </c>
      <c r="B40" s="103" t="s">
        <v>483</v>
      </c>
      <c r="C40" s="221" t="s">
        <v>17</v>
      </c>
      <c r="D40" s="135">
        <v>0</v>
      </c>
      <c r="E40" s="135">
        <v>0</v>
      </c>
      <c r="F40" s="135">
        <v>0</v>
      </c>
      <c r="G40" s="144">
        <v>0</v>
      </c>
      <c r="H40" s="135">
        <v>0</v>
      </c>
      <c r="I40" s="135">
        <v>0</v>
      </c>
      <c r="J40" s="135">
        <v>0</v>
      </c>
      <c r="K40" s="144">
        <v>0</v>
      </c>
    </row>
    <row r="41" spans="1:11" x14ac:dyDescent="0.3">
      <c r="A41" s="103" t="s">
        <v>1045</v>
      </c>
      <c r="B41" s="103" t="s">
        <v>694</v>
      </c>
      <c r="C41" s="221" t="s">
        <v>911</v>
      </c>
      <c r="D41" s="135">
        <v>0</v>
      </c>
      <c r="E41" s="135">
        <v>0</v>
      </c>
      <c r="F41" s="135">
        <v>0</v>
      </c>
      <c r="G41" s="144">
        <v>0</v>
      </c>
      <c r="H41" s="135">
        <v>0</v>
      </c>
      <c r="I41" s="135">
        <v>0</v>
      </c>
      <c r="J41" s="135">
        <v>0</v>
      </c>
      <c r="K41" s="144">
        <v>0</v>
      </c>
    </row>
    <row r="42" spans="1:11" x14ac:dyDescent="0.3">
      <c r="A42" s="103" t="s">
        <v>410</v>
      </c>
      <c r="B42" s="103" t="s">
        <v>681</v>
      </c>
      <c r="C42" s="221" t="s">
        <v>242</v>
      </c>
      <c r="D42" s="144">
        <v>7459</v>
      </c>
      <c r="E42" s="135">
        <v>0</v>
      </c>
      <c r="F42" s="144">
        <v>7459</v>
      </c>
      <c r="G42" s="144">
        <v>7459</v>
      </c>
      <c r="H42" s="144">
        <v>7459</v>
      </c>
      <c r="I42" s="135">
        <v>0</v>
      </c>
      <c r="J42" s="144">
        <v>7459</v>
      </c>
      <c r="K42" s="144">
        <v>7459</v>
      </c>
    </row>
    <row r="43" spans="1:11" x14ac:dyDescent="0.3">
      <c r="A43" s="103" t="s">
        <v>376</v>
      </c>
      <c r="B43" s="103" t="s">
        <v>359</v>
      </c>
      <c r="C43" s="221" t="s">
        <v>657</v>
      </c>
      <c r="D43" s="135">
        <v>0</v>
      </c>
      <c r="E43" s="135">
        <v>0</v>
      </c>
      <c r="F43" s="135">
        <v>0</v>
      </c>
      <c r="G43" s="144">
        <v>0</v>
      </c>
      <c r="H43" s="135">
        <v>0</v>
      </c>
      <c r="I43" s="135">
        <v>0</v>
      </c>
      <c r="J43" s="135">
        <v>0</v>
      </c>
      <c r="K43" s="144">
        <v>0</v>
      </c>
    </row>
    <row r="44" spans="1:11" x14ac:dyDescent="0.3">
      <c r="A44" s="103" t="s">
        <v>835</v>
      </c>
      <c r="B44" s="103" t="s">
        <v>471</v>
      </c>
      <c r="C44" s="221" t="s">
        <v>1301</v>
      </c>
      <c r="D44" s="135">
        <v>0</v>
      </c>
      <c r="E44" s="135">
        <v>0</v>
      </c>
      <c r="F44" s="135">
        <v>0</v>
      </c>
      <c r="G44" s="144">
        <v>0</v>
      </c>
      <c r="H44" s="135">
        <v>0</v>
      </c>
      <c r="I44" s="135">
        <v>0</v>
      </c>
      <c r="J44" s="135">
        <v>0</v>
      </c>
      <c r="K44" s="144">
        <v>0</v>
      </c>
    </row>
    <row r="45" spans="1:11" x14ac:dyDescent="0.3">
      <c r="A45" s="103" t="s">
        <v>456</v>
      </c>
      <c r="B45" s="103" t="s">
        <v>1174</v>
      </c>
      <c r="C45" s="221" t="s">
        <v>576</v>
      </c>
      <c r="D45" s="135">
        <v>0</v>
      </c>
      <c r="E45" s="135">
        <v>0</v>
      </c>
      <c r="F45" s="135">
        <v>0</v>
      </c>
      <c r="G45" s="144">
        <v>0</v>
      </c>
      <c r="H45" s="135">
        <v>0</v>
      </c>
      <c r="I45" s="135">
        <v>0</v>
      </c>
      <c r="J45" s="135">
        <v>0</v>
      </c>
      <c r="K45" s="144">
        <v>0</v>
      </c>
    </row>
    <row r="46" spans="1:11" x14ac:dyDescent="0.3">
      <c r="A46" s="103" t="s">
        <v>538</v>
      </c>
      <c r="B46" s="103" t="s">
        <v>187</v>
      </c>
      <c r="C46" s="221" t="s">
        <v>932</v>
      </c>
      <c r="D46" s="135">
        <v>0</v>
      </c>
      <c r="E46" s="135">
        <v>0</v>
      </c>
      <c r="F46" s="135">
        <v>0</v>
      </c>
      <c r="G46" s="144">
        <v>0</v>
      </c>
      <c r="H46" s="135">
        <v>0</v>
      </c>
      <c r="I46" s="135">
        <v>0</v>
      </c>
      <c r="J46" s="135">
        <v>0</v>
      </c>
      <c r="K46" s="144">
        <v>0</v>
      </c>
    </row>
    <row r="47" spans="1:11" x14ac:dyDescent="0.3">
      <c r="A47" s="103" t="s">
        <v>1042</v>
      </c>
      <c r="B47" s="103" t="s">
        <v>857</v>
      </c>
      <c r="C47" s="221" t="s">
        <v>1111</v>
      </c>
      <c r="D47" s="135">
        <v>0</v>
      </c>
      <c r="E47" s="135">
        <v>0</v>
      </c>
      <c r="F47" s="135">
        <v>0</v>
      </c>
      <c r="G47" s="144">
        <v>0</v>
      </c>
      <c r="H47" s="135">
        <v>0</v>
      </c>
      <c r="I47" s="135">
        <v>0</v>
      </c>
      <c r="J47" s="135">
        <v>0</v>
      </c>
      <c r="K47" s="144">
        <v>0</v>
      </c>
    </row>
    <row r="48" spans="1:11" x14ac:dyDescent="0.3">
      <c r="A48" s="103" t="s">
        <v>239</v>
      </c>
      <c r="B48" s="103" t="s">
        <v>1152</v>
      </c>
      <c r="C48" s="221" t="s">
        <v>1126</v>
      </c>
      <c r="D48" s="135">
        <v>0</v>
      </c>
      <c r="E48" s="135">
        <v>0</v>
      </c>
      <c r="F48" s="135">
        <v>0</v>
      </c>
      <c r="G48" s="144">
        <v>0</v>
      </c>
      <c r="H48" s="135">
        <v>0</v>
      </c>
      <c r="I48" s="135">
        <v>0</v>
      </c>
      <c r="J48" s="135">
        <v>0</v>
      </c>
      <c r="K48" s="144">
        <v>0</v>
      </c>
    </row>
    <row r="49" spans="1:11" x14ac:dyDescent="0.3">
      <c r="A49" s="103" t="s">
        <v>440</v>
      </c>
      <c r="B49" s="103" t="s">
        <v>647</v>
      </c>
      <c r="C49" s="221" t="s">
        <v>976</v>
      </c>
      <c r="D49" s="135">
        <v>0</v>
      </c>
      <c r="E49" s="135">
        <v>0</v>
      </c>
      <c r="F49" s="135">
        <v>0</v>
      </c>
      <c r="G49" s="144">
        <v>0</v>
      </c>
      <c r="H49" s="135">
        <v>0</v>
      </c>
      <c r="I49" s="135">
        <v>0</v>
      </c>
      <c r="J49" s="135">
        <v>0</v>
      </c>
      <c r="K49" s="144">
        <v>0</v>
      </c>
    </row>
    <row r="50" spans="1:11" x14ac:dyDescent="0.3">
      <c r="A50" s="103" t="s">
        <v>543</v>
      </c>
      <c r="B50" s="103" t="s">
        <v>165</v>
      </c>
      <c r="C50" s="221" t="s">
        <v>360</v>
      </c>
      <c r="D50" s="135">
        <v>0</v>
      </c>
      <c r="E50" s="135">
        <v>0</v>
      </c>
      <c r="F50" s="135">
        <v>0</v>
      </c>
      <c r="G50" s="144">
        <v>0</v>
      </c>
      <c r="H50" s="135">
        <v>0</v>
      </c>
      <c r="I50" s="135">
        <v>0</v>
      </c>
      <c r="J50" s="135">
        <v>0</v>
      </c>
      <c r="K50" s="144">
        <v>0</v>
      </c>
    </row>
    <row r="51" spans="1:11" x14ac:dyDescent="0.3">
      <c r="A51" s="103" t="s">
        <v>1045</v>
      </c>
      <c r="B51" s="103" t="s">
        <v>400</v>
      </c>
      <c r="C51" s="221" t="s">
        <v>903</v>
      </c>
      <c r="D51" s="135">
        <v>0</v>
      </c>
      <c r="E51" s="135">
        <v>0</v>
      </c>
      <c r="F51" s="135">
        <v>0</v>
      </c>
      <c r="G51" s="144">
        <v>0</v>
      </c>
      <c r="H51" s="135">
        <v>0</v>
      </c>
      <c r="I51" s="135">
        <v>0</v>
      </c>
      <c r="J51" s="135">
        <v>0</v>
      </c>
      <c r="K51" s="144">
        <v>0</v>
      </c>
    </row>
    <row r="52" spans="1:11" x14ac:dyDescent="0.3">
      <c r="A52" s="103" t="s">
        <v>1099</v>
      </c>
      <c r="B52" s="103" t="s">
        <v>1153</v>
      </c>
      <c r="C52" s="221" t="s">
        <v>311</v>
      </c>
      <c r="D52" s="135">
        <v>0</v>
      </c>
      <c r="E52" s="135">
        <v>0</v>
      </c>
      <c r="F52" s="135">
        <v>0</v>
      </c>
      <c r="G52" s="144">
        <v>0</v>
      </c>
      <c r="H52" s="135">
        <v>0</v>
      </c>
      <c r="I52" s="135">
        <v>0</v>
      </c>
      <c r="J52" s="135">
        <v>0</v>
      </c>
      <c r="K52" s="144">
        <v>0</v>
      </c>
    </row>
    <row r="53" spans="1:11" x14ac:dyDescent="0.3">
      <c r="A53" s="103" t="s">
        <v>999</v>
      </c>
      <c r="B53" s="103" t="s">
        <v>31</v>
      </c>
      <c r="C53" s="221" t="s">
        <v>708</v>
      </c>
      <c r="D53" s="144">
        <v>7459</v>
      </c>
      <c r="E53" s="135">
        <v>0</v>
      </c>
      <c r="F53" s="144">
        <v>7459</v>
      </c>
      <c r="G53" s="144">
        <v>7459</v>
      </c>
      <c r="H53" s="144">
        <v>7459</v>
      </c>
      <c r="I53" s="135">
        <v>0</v>
      </c>
      <c r="J53" s="144">
        <v>7459</v>
      </c>
      <c r="K53" s="144">
        <v>7459</v>
      </c>
    </row>
    <row r="54" spans="1:11" x14ac:dyDescent="0.3">
      <c r="A54" s="103" t="s">
        <v>843</v>
      </c>
      <c r="B54" s="103" t="s">
        <v>274</v>
      </c>
      <c r="C54" s="221" t="s">
        <v>645</v>
      </c>
      <c r="D54" s="144">
        <v>2141707.7200000002</v>
      </c>
      <c r="E54" s="144">
        <v>155975.92000000001</v>
      </c>
      <c r="F54" s="144">
        <v>1985731.8</v>
      </c>
      <c r="G54" s="144">
        <v>2388117.64</v>
      </c>
      <c r="H54" s="144">
        <v>2141707.7200000002</v>
      </c>
      <c r="I54" s="144">
        <v>155975.92000000001</v>
      </c>
      <c r="J54" s="144">
        <v>1985731.8</v>
      </c>
      <c r="K54" s="144">
        <v>2388117</v>
      </c>
    </row>
    <row r="55" spans="1:11" x14ac:dyDescent="0.3">
      <c r="A55" s="103" t="s">
        <v>1315</v>
      </c>
      <c r="B55" s="103" t="s">
        <v>728</v>
      </c>
      <c r="C55" s="221" t="s">
        <v>391</v>
      </c>
      <c r="D55" s="144">
        <v>1877915.21</v>
      </c>
      <c r="E55" s="144">
        <v>155975.92000000001</v>
      </c>
      <c r="F55" s="144">
        <v>1721939.29</v>
      </c>
      <c r="G55" s="144">
        <v>2265449.4300000002</v>
      </c>
      <c r="H55" s="144">
        <v>1877915.21</v>
      </c>
      <c r="I55" s="144">
        <v>155975.92000000001</v>
      </c>
      <c r="J55" s="144">
        <v>1721939.29</v>
      </c>
      <c r="K55" s="144">
        <v>2265449</v>
      </c>
    </row>
    <row r="56" spans="1:11" x14ac:dyDescent="0.3">
      <c r="A56" s="103" t="s">
        <v>835</v>
      </c>
      <c r="B56" s="103" t="s">
        <v>471</v>
      </c>
      <c r="C56" s="221" t="s">
        <v>1123</v>
      </c>
      <c r="D56" s="135">
        <v>0</v>
      </c>
      <c r="E56" s="135">
        <v>0</v>
      </c>
      <c r="F56" s="135">
        <v>0</v>
      </c>
      <c r="G56" s="144">
        <v>0</v>
      </c>
      <c r="H56" s="135">
        <v>0</v>
      </c>
      <c r="I56" s="135">
        <v>0</v>
      </c>
      <c r="J56" s="135">
        <v>0</v>
      </c>
      <c r="K56" s="144">
        <v>0</v>
      </c>
    </row>
    <row r="57" spans="1:11" x14ac:dyDescent="0.3">
      <c r="A57" s="103" t="s">
        <v>456</v>
      </c>
      <c r="B57" s="103" t="s">
        <v>1174</v>
      </c>
      <c r="C57" s="221" t="s">
        <v>354</v>
      </c>
      <c r="D57" s="135">
        <v>0</v>
      </c>
      <c r="E57" s="135">
        <v>0</v>
      </c>
      <c r="F57" s="135">
        <v>0</v>
      </c>
      <c r="G57" s="144">
        <v>0</v>
      </c>
      <c r="H57" s="135">
        <v>0</v>
      </c>
      <c r="I57" s="135">
        <v>0</v>
      </c>
      <c r="J57" s="135">
        <v>0</v>
      </c>
      <c r="K57" s="144">
        <v>0</v>
      </c>
    </row>
    <row r="58" spans="1:11" x14ac:dyDescent="0.3">
      <c r="A58" s="103" t="s">
        <v>538</v>
      </c>
      <c r="B58" s="103" t="s">
        <v>187</v>
      </c>
      <c r="C58" s="221" t="s">
        <v>1293</v>
      </c>
      <c r="D58" s="144">
        <v>1877915.21</v>
      </c>
      <c r="E58" s="144">
        <v>155975.92000000001</v>
      </c>
      <c r="F58" s="144">
        <v>1721939.29</v>
      </c>
      <c r="G58" s="144">
        <v>2265449.4300000002</v>
      </c>
      <c r="H58" s="144">
        <v>1877915.21</v>
      </c>
      <c r="I58" s="144">
        <v>155975.92000000001</v>
      </c>
      <c r="J58" s="144">
        <v>1721939.29</v>
      </c>
      <c r="K58" s="144">
        <v>2265449</v>
      </c>
    </row>
    <row r="59" spans="1:11" x14ac:dyDescent="0.3">
      <c r="A59" s="103" t="s">
        <v>1042</v>
      </c>
      <c r="B59" s="103" t="s">
        <v>857</v>
      </c>
      <c r="C59" s="221" t="s">
        <v>682</v>
      </c>
      <c r="D59" s="135">
        <v>0</v>
      </c>
      <c r="E59" s="135">
        <v>0</v>
      </c>
      <c r="F59" s="135">
        <v>0</v>
      </c>
      <c r="G59" s="144">
        <v>0</v>
      </c>
      <c r="H59" s="135">
        <v>0</v>
      </c>
      <c r="I59" s="135">
        <v>0</v>
      </c>
      <c r="J59" s="135">
        <v>0</v>
      </c>
      <c r="K59" s="144">
        <v>0</v>
      </c>
    </row>
    <row r="60" spans="1:11" x14ac:dyDescent="0.3">
      <c r="A60" s="103" t="s">
        <v>239</v>
      </c>
      <c r="B60" s="103" t="s">
        <v>1152</v>
      </c>
      <c r="C60" s="221" t="s">
        <v>429</v>
      </c>
      <c r="D60" s="135">
        <v>0</v>
      </c>
      <c r="E60" s="135">
        <v>0</v>
      </c>
      <c r="F60" s="135">
        <v>0</v>
      </c>
      <c r="G60" s="144">
        <v>0</v>
      </c>
      <c r="H60" s="135">
        <v>0</v>
      </c>
      <c r="I60" s="135">
        <v>0</v>
      </c>
      <c r="J60" s="135">
        <v>0</v>
      </c>
      <c r="K60" s="144">
        <v>0</v>
      </c>
    </row>
    <row r="61" spans="1:11" x14ac:dyDescent="0.3">
      <c r="A61" s="103" t="s">
        <v>440</v>
      </c>
      <c r="B61" s="103" t="s">
        <v>647</v>
      </c>
      <c r="C61" s="221" t="s">
        <v>1204</v>
      </c>
      <c r="D61" s="135">
        <v>0</v>
      </c>
      <c r="E61" s="135">
        <v>0</v>
      </c>
      <c r="F61" s="135">
        <v>0</v>
      </c>
      <c r="G61" s="144">
        <v>0</v>
      </c>
      <c r="H61" s="135">
        <v>0</v>
      </c>
      <c r="I61" s="135">
        <v>0</v>
      </c>
      <c r="J61" s="135">
        <v>0</v>
      </c>
      <c r="K61" s="144">
        <v>0</v>
      </c>
    </row>
    <row r="62" spans="1:11" x14ac:dyDescent="0.3">
      <c r="A62" s="103" t="s">
        <v>543</v>
      </c>
      <c r="B62" s="103" t="s">
        <v>1078</v>
      </c>
      <c r="C62" s="221" t="s">
        <v>1069</v>
      </c>
      <c r="D62" s="135">
        <v>0</v>
      </c>
      <c r="E62" s="135">
        <v>0</v>
      </c>
      <c r="F62" s="135">
        <v>0</v>
      </c>
      <c r="G62" s="144">
        <v>0</v>
      </c>
      <c r="H62" s="135">
        <v>0</v>
      </c>
      <c r="I62" s="135">
        <v>0</v>
      </c>
      <c r="J62" s="135">
        <v>0</v>
      </c>
      <c r="K62" s="144">
        <v>0</v>
      </c>
    </row>
    <row r="63" spans="1:11" x14ac:dyDescent="0.3">
      <c r="A63" s="103" t="s">
        <v>1045</v>
      </c>
      <c r="B63" s="103" t="s">
        <v>763</v>
      </c>
      <c r="C63" s="221" t="s">
        <v>225</v>
      </c>
      <c r="D63" s="144">
        <v>0</v>
      </c>
      <c r="E63" s="135">
        <v>0</v>
      </c>
      <c r="F63" s="144">
        <v>0</v>
      </c>
      <c r="G63" s="144">
        <v>0</v>
      </c>
      <c r="H63" s="144">
        <v>0</v>
      </c>
      <c r="I63" s="135">
        <v>0</v>
      </c>
      <c r="J63" s="144">
        <v>0</v>
      </c>
      <c r="K63" s="144">
        <v>0</v>
      </c>
    </row>
    <row r="64" spans="1:11" x14ac:dyDescent="0.3">
      <c r="A64" s="103" t="s">
        <v>1099</v>
      </c>
      <c r="B64" s="103" t="s">
        <v>1188</v>
      </c>
      <c r="C64" s="221" t="s">
        <v>799</v>
      </c>
      <c r="D64" s="144">
        <v>247066.12</v>
      </c>
      <c r="E64" s="135">
        <v>0</v>
      </c>
      <c r="F64" s="144">
        <v>247066.12</v>
      </c>
      <c r="G64" s="144">
        <v>101085.03</v>
      </c>
      <c r="H64" s="144">
        <v>247066.12</v>
      </c>
      <c r="I64" s="135">
        <v>0</v>
      </c>
      <c r="J64" s="144">
        <v>247066.12</v>
      </c>
      <c r="K64" s="144">
        <v>101085</v>
      </c>
    </row>
    <row r="65" spans="1:11" x14ac:dyDescent="0.3">
      <c r="A65" s="103" t="s">
        <v>999</v>
      </c>
      <c r="B65" s="103" t="s">
        <v>400</v>
      </c>
      <c r="C65" s="221" t="s">
        <v>1231</v>
      </c>
      <c r="D65" s="135">
        <v>0</v>
      </c>
      <c r="E65" s="135">
        <v>0</v>
      </c>
      <c r="F65" s="135">
        <v>0</v>
      </c>
      <c r="G65" s="144">
        <v>0</v>
      </c>
      <c r="H65" s="135">
        <v>0</v>
      </c>
      <c r="I65" s="135">
        <v>0</v>
      </c>
      <c r="J65" s="135">
        <v>0</v>
      </c>
      <c r="K65" s="144">
        <v>0</v>
      </c>
    </row>
    <row r="66" spans="1:11" x14ac:dyDescent="0.3">
      <c r="A66" s="103" t="s">
        <v>40</v>
      </c>
      <c r="B66" s="103" t="s">
        <v>633</v>
      </c>
      <c r="C66" s="221" t="s">
        <v>16</v>
      </c>
      <c r="D66" s="144">
        <v>16726.39</v>
      </c>
      <c r="E66" s="135">
        <v>0</v>
      </c>
      <c r="F66" s="144">
        <v>16726.39</v>
      </c>
      <c r="G66" s="144">
        <v>21583.18</v>
      </c>
      <c r="H66" s="144">
        <v>16726.39</v>
      </c>
      <c r="I66" s="135">
        <v>0</v>
      </c>
      <c r="J66" s="144">
        <v>16726.39</v>
      </c>
      <c r="K66" s="144">
        <v>21583</v>
      </c>
    </row>
    <row r="67" spans="1:11" x14ac:dyDescent="0.3">
      <c r="A67" s="103" t="s">
        <v>116</v>
      </c>
      <c r="B67" s="103" t="s">
        <v>1100</v>
      </c>
      <c r="C67" s="221" t="s">
        <v>1183</v>
      </c>
      <c r="D67" s="135">
        <v>0</v>
      </c>
      <c r="E67" s="135">
        <v>0</v>
      </c>
      <c r="F67" s="135">
        <v>0</v>
      </c>
      <c r="G67" s="144">
        <v>0</v>
      </c>
      <c r="H67" s="135">
        <v>0</v>
      </c>
      <c r="I67" s="135">
        <v>0</v>
      </c>
      <c r="J67" s="135">
        <v>0</v>
      </c>
      <c r="K67" s="144">
        <v>0</v>
      </c>
    </row>
    <row r="68" spans="1:11" x14ac:dyDescent="0.3">
      <c r="A68" s="103" t="s">
        <v>959</v>
      </c>
      <c r="B68" s="103" t="s">
        <v>29</v>
      </c>
      <c r="C68" s="221" t="s">
        <v>1185</v>
      </c>
      <c r="D68" s="135">
        <v>0</v>
      </c>
      <c r="E68" s="135">
        <v>0</v>
      </c>
      <c r="F68" s="135">
        <v>0</v>
      </c>
      <c r="G68" s="144">
        <v>0</v>
      </c>
      <c r="H68" s="135">
        <v>0</v>
      </c>
      <c r="I68" s="135">
        <v>0</v>
      </c>
      <c r="J68" s="135">
        <v>0</v>
      </c>
      <c r="K68" s="144">
        <v>0</v>
      </c>
    </row>
    <row r="69" spans="1:11" x14ac:dyDescent="0.3">
      <c r="A69" s="248" t="s">
        <v>1042</v>
      </c>
      <c r="B69" s="248" t="s">
        <v>946</v>
      </c>
      <c r="C69" s="84" t="s">
        <v>522</v>
      </c>
      <c r="D69" s="202">
        <v>0</v>
      </c>
      <c r="E69" s="202">
        <v>0</v>
      </c>
      <c r="F69" s="202">
        <v>0</v>
      </c>
      <c r="G69" s="210">
        <v>0</v>
      </c>
      <c r="H69" s="202">
        <v>0</v>
      </c>
      <c r="I69" s="202">
        <v>0</v>
      </c>
      <c r="J69" s="202">
        <v>0</v>
      </c>
      <c r="K69" s="210">
        <v>0</v>
      </c>
    </row>
    <row r="70" spans="1:11" x14ac:dyDescent="0.3">
      <c r="A70" s="248" t="s">
        <v>239</v>
      </c>
      <c r="B70" s="248" t="s">
        <v>1116</v>
      </c>
      <c r="C70" s="84" t="s">
        <v>896</v>
      </c>
      <c r="D70" s="202">
        <v>0</v>
      </c>
      <c r="E70" s="202">
        <v>0</v>
      </c>
      <c r="F70" s="202">
        <v>0</v>
      </c>
      <c r="G70" s="210">
        <v>0</v>
      </c>
      <c r="H70" s="202">
        <v>0</v>
      </c>
      <c r="I70" s="202">
        <v>0</v>
      </c>
      <c r="J70" s="202">
        <v>0</v>
      </c>
      <c r="K70" s="210">
        <v>0</v>
      </c>
    </row>
    <row r="71" spans="1:11" x14ac:dyDescent="0.3">
      <c r="A71" s="248" t="s">
        <v>440</v>
      </c>
      <c r="B71" s="248" t="s">
        <v>263</v>
      </c>
      <c r="C71" s="84" t="s">
        <v>379</v>
      </c>
      <c r="D71" s="202">
        <v>0</v>
      </c>
      <c r="E71" s="202">
        <v>0</v>
      </c>
      <c r="F71" s="202">
        <v>0</v>
      </c>
      <c r="G71" s="210">
        <v>0</v>
      </c>
      <c r="H71" s="202">
        <v>0</v>
      </c>
      <c r="I71" s="202">
        <v>0</v>
      </c>
      <c r="J71" s="202">
        <v>0</v>
      </c>
      <c r="K71" s="210">
        <v>0</v>
      </c>
    </row>
    <row r="72" spans="1:11" x14ac:dyDescent="0.3">
      <c r="A72" s="248" t="s">
        <v>15</v>
      </c>
      <c r="B72" s="248" t="s">
        <v>236</v>
      </c>
      <c r="C72" s="84" t="s">
        <v>1283</v>
      </c>
      <c r="D72" s="210">
        <v>1284193.58</v>
      </c>
      <c r="E72" s="202">
        <v>0</v>
      </c>
      <c r="F72" s="210">
        <v>1284193.58</v>
      </c>
      <c r="G72" s="210">
        <v>1809304.39</v>
      </c>
      <c r="H72" s="210">
        <v>1284193.58</v>
      </c>
      <c r="I72" s="202">
        <v>0</v>
      </c>
      <c r="J72" s="210">
        <v>1284193.58</v>
      </c>
      <c r="K72" s="210">
        <v>1809305</v>
      </c>
    </row>
    <row r="73" spans="1:11" x14ac:dyDescent="0.3">
      <c r="A73" s="248" t="s">
        <v>1039</v>
      </c>
      <c r="B73" s="248" t="s">
        <v>905</v>
      </c>
      <c r="C73" s="84" t="s">
        <v>941</v>
      </c>
      <c r="D73" s="210">
        <v>103397.83</v>
      </c>
      <c r="E73" s="202">
        <v>0</v>
      </c>
      <c r="F73" s="210">
        <v>103397.83</v>
      </c>
      <c r="G73" s="210">
        <v>333111.74</v>
      </c>
      <c r="H73" s="210">
        <v>103397.83</v>
      </c>
      <c r="I73" s="202">
        <v>0</v>
      </c>
      <c r="J73" s="210">
        <v>103397.83</v>
      </c>
      <c r="K73" s="210">
        <v>333112</v>
      </c>
    </row>
    <row r="74" spans="1:11" x14ac:dyDescent="0.3">
      <c r="A74" s="248" t="s">
        <v>1042</v>
      </c>
      <c r="B74" s="248" t="s">
        <v>368</v>
      </c>
      <c r="C74" s="84" t="s">
        <v>688</v>
      </c>
      <c r="D74" s="210">
        <v>1180795.75</v>
      </c>
      <c r="E74" s="202">
        <v>0</v>
      </c>
      <c r="F74" s="210">
        <v>1180795.75</v>
      </c>
      <c r="G74" s="210">
        <v>1476192.65</v>
      </c>
      <c r="H74" s="210">
        <v>1180795.75</v>
      </c>
      <c r="I74" s="202">
        <v>0</v>
      </c>
      <c r="J74" s="210">
        <v>1180795.75</v>
      </c>
      <c r="K74" s="210">
        <v>1476193</v>
      </c>
    </row>
    <row r="75" spans="1:11" x14ac:dyDescent="0.3">
      <c r="A75" s="248" t="s">
        <v>351</v>
      </c>
      <c r="B75" s="248" t="s">
        <v>652</v>
      </c>
      <c r="C75" s="84" t="s">
        <v>261</v>
      </c>
      <c r="D75" s="210">
        <v>13868.76</v>
      </c>
      <c r="E75" s="202">
        <v>0</v>
      </c>
      <c r="F75" s="210">
        <v>13868.76</v>
      </c>
      <c r="G75" s="210">
        <v>1577566.13</v>
      </c>
      <c r="H75" s="210">
        <v>13868.76</v>
      </c>
      <c r="I75" s="202">
        <v>0</v>
      </c>
      <c r="J75" s="210">
        <v>13868.76</v>
      </c>
      <c r="K75" s="210">
        <v>1577566</v>
      </c>
    </row>
    <row r="76" spans="1:11" x14ac:dyDescent="0.3">
      <c r="A76" s="248" t="s">
        <v>856</v>
      </c>
      <c r="B76" s="248" t="s">
        <v>268</v>
      </c>
      <c r="C76" s="84" t="s">
        <v>1017</v>
      </c>
      <c r="D76" s="202">
        <v>0</v>
      </c>
      <c r="E76" s="202">
        <v>0</v>
      </c>
      <c r="F76" s="202">
        <v>0</v>
      </c>
      <c r="G76" s="210">
        <v>0</v>
      </c>
      <c r="H76" s="202">
        <v>0</v>
      </c>
      <c r="I76" s="202">
        <v>0</v>
      </c>
      <c r="J76" s="202">
        <v>0</v>
      </c>
      <c r="K76" s="210">
        <v>0</v>
      </c>
    </row>
    <row r="77" spans="1:11" x14ac:dyDescent="0.3">
      <c r="A77" s="248" t="s">
        <v>1042</v>
      </c>
      <c r="B77" s="248" t="s">
        <v>792</v>
      </c>
      <c r="C77" s="84" t="s">
        <v>720</v>
      </c>
      <c r="D77" s="210">
        <v>13868.76</v>
      </c>
      <c r="E77" s="202">
        <v>0</v>
      </c>
      <c r="F77" s="210">
        <v>13868.76</v>
      </c>
      <c r="G77" s="210">
        <v>10106.049999999999</v>
      </c>
      <c r="H77" s="210">
        <v>13868.76</v>
      </c>
      <c r="I77" s="202">
        <v>0</v>
      </c>
      <c r="J77" s="210">
        <v>13868.76</v>
      </c>
      <c r="K77" s="210">
        <v>10106</v>
      </c>
    </row>
    <row r="78" spans="1:11" x14ac:dyDescent="0.3">
      <c r="A78" s="248" t="s">
        <v>239</v>
      </c>
      <c r="B78" s="248" t="s">
        <v>1312</v>
      </c>
      <c r="C78" s="84" t="s">
        <v>816</v>
      </c>
      <c r="D78" s="202">
        <v>0</v>
      </c>
      <c r="E78" s="202">
        <v>0</v>
      </c>
      <c r="F78" s="202">
        <v>0</v>
      </c>
      <c r="G78" s="210">
        <v>0</v>
      </c>
      <c r="H78" s="202">
        <v>0</v>
      </c>
      <c r="I78" s="202">
        <v>0</v>
      </c>
      <c r="J78" s="202">
        <v>0</v>
      </c>
      <c r="K78" s="210">
        <v>0</v>
      </c>
    </row>
    <row r="79" spans="1:11" x14ac:dyDescent="0.3">
      <c r="A79" s="248" t="s">
        <v>440</v>
      </c>
      <c r="B79" s="248" t="s">
        <v>346</v>
      </c>
      <c r="C79" s="84" t="s">
        <v>1015</v>
      </c>
      <c r="D79" s="210">
        <v>0</v>
      </c>
      <c r="E79" s="202">
        <v>0</v>
      </c>
      <c r="F79" s="210">
        <v>0</v>
      </c>
      <c r="G79" s="210">
        <v>1567460.08</v>
      </c>
      <c r="H79" s="210">
        <v>0</v>
      </c>
      <c r="I79" s="202">
        <v>0</v>
      </c>
      <c r="J79" s="210">
        <v>0</v>
      </c>
      <c r="K79" s="210">
        <v>1567460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zoomScaleNormal="100" zoomScaleSheetLayoutView="100" workbookViewId="0"/>
  </sheetViews>
  <sheetFormatPr defaultColWidth="9.109375" defaultRowHeight="14.4" x14ac:dyDescent="0.3"/>
  <cols>
    <col min="1" max="1" width="29.33203125" style="78" customWidth="1"/>
    <col min="2" max="4" width="11.33203125" style="78" customWidth="1"/>
    <col min="5" max="5" width="12.5546875" style="78" customWidth="1"/>
    <col min="6" max="10" width="11.33203125" style="78" customWidth="1"/>
    <col min="11" max="16384" width="9.109375" style="78"/>
  </cols>
  <sheetData>
    <row r="1" spans="1:33" x14ac:dyDescent="0.3">
      <c r="A1" s="101" t="s">
        <v>641</v>
      </c>
    </row>
    <row r="2" spans="1:33" ht="15" thickBot="1" x14ac:dyDescent="0.35">
      <c r="A2" s="136" t="s">
        <v>258</v>
      </c>
    </row>
    <row r="3" spans="1:33" ht="16.5" customHeight="1" thickTop="1" thickBot="1" x14ac:dyDescent="0.35">
      <c r="A3" s="260" t="s">
        <v>597</v>
      </c>
      <c r="B3" s="254" t="s">
        <v>137</v>
      </c>
      <c r="C3" s="255"/>
      <c r="D3" s="255"/>
      <c r="E3" s="255"/>
      <c r="F3" s="255"/>
      <c r="G3" s="255"/>
      <c r="H3" s="255"/>
      <c r="I3" s="255"/>
      <c r="J3" s="256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 ht="62.25" customHeight="1" thickTop="1" thickBot="1" x14ac:dyDescent="0.35">
      <c r="A4" s="261"/>
      <c r="B4" s="247" t="s">
        <v>1070</v>
      </c>
      <c r="C4" s="247" t="s">
        <v>515</v>
      </c>
      <c r="D4" s="247" t="s">
        <v>879</v>
      </c>
      <c r="E4" s="247" t="s">
        <v>121</v>
      </c>
      <c r="F4" s="247" t="s">
        <v>294</v>
      </c>
      <c r="G4" s="247" t="s">
        <v>1274</v>
      </c>
      <c r="H4" s="247" t="s">
        <v>42</v>
      </c>
      <c r="I4" s="247" t="s">
        <v>1165</v>
      </c>
      <c r="J4" s="247" t="s">
        <v>1027</v>
      </c>
    </row>
    <row r="5" spans="1:33" ht="15" customHeight="1" thickTop="1" thickBot="1" x14ac:dyDescent="0.35">
      <c r="A5" s="214" t="s">
        <v>1288</v>
      </c>
      <c r="B5" s="111"/>
      <c r="C5" s="111"/>
      <c r="D5" s="111"/>
      <c r="E5" s="111"/>
      <c r="F5" s="111"/>
      <c r="G5" s="111"/>
      <c r="H5" s="111"/>
      <c r="I5" s="111"/>
      <c r="J5" s="118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</row>
    <row r="6" spans="1:33" ht="15.6" thickTop="1" thickBot="1" x14ac:dyDescent="0.35">
      <c r="A6" s="216" t="s">
        <v>1107</v>
      </c>
      <c r="B6" s="139">
        <f>SUMIF(HK!A:A,"031*",HK!C:C)-SUMIF(HK!A:A,"031*",HK!D:D)</f>
        <v>99914.42</v>
      </c>
      <c r="C6" s="139">
        <f>SUMIF(HK!A:A,"021*",HK!C:C)-SUMIF(HK!A:A,"021*",HK!D:D)</f>
        <v>1323885.77</v>
      </c>
      <c r="D6" s="139">
        <f>SUMIF(HK!A:A,"022*",HK!C:C)-SUMIF(HK!A:A,"022*",HK!D:D)</f>
        <v>3505354.76</v>
      </c>
      <c r="E6" s="139">
        <f>SUMIF(HK!A:A,"025*",HK!C:C)-SUMIF(HK!A:A,"025*",HK!D:D)</f>
        <v>0</v>
      </c>
      <c r="F6" s="139">
        <f>SUMIF(HK!A:A,"026*",HK!C:C)-SUMIF(HK!A:A,"026*",HK!D:D)</f>
        <v>0</v>
      </c>
      <c r="G6" s="139">
        <f>SUMIF(HK!A:A,"029*",HK!C:C)-SUMIF(HK!A:A,"029*",HK!D:D)</f>
        <v>0</v>
      </c>
      <c r="H6" s="139">
        <f>SUMIF(HK!A:A,"042*",HK!C:C)-SUMIF(HK!A:A,"042*",HK!D:D)</f>
        <v>505774.97</v>
      </c>
      <c r="I6" s="139">
        <f>SUMIF(HK!A:A,"052*",HK!C:C)-SUMIF(HK!A:A,"052*",HK!D:D)</f>
        <v>0</v>
      </c>
      <c r="J6" s="73">
        <f>SUM(B6:I6)</f>
        <v>5434929.919999999</v>
      </c>
      <c r="L6" s="38"/>
    </row>
    <row r="7" spans="1:33" ht="15" customHeight="1" thickBot="1" x14ac:dyDescent="0.35">
      <c r="A7" s="116" t="s">
        <v>1261</v>
      </c>
      <c r="B7" s="241"/>
      <c r="C7" s="241"/>
      <c r="D7" s="241"/>
      <c r="E7" s="241"/>
      <c r="F7" s="29"/>
      <c r="G7" s="241"/>
      <c r="H7" s="241"/>
      <c r="I7" s="241"/>
      <c r="J7" s="73">
        <f>SUM(B7:I7)</f>
        <v>0</v>
      </c>
    </row>
    <row r="8" spans="1:33" ht="15" customHeight="1" thickBot="1" x14ac:dyDescent="0.35">
      <c r="A8" s="116" t="s">
        <v>18</v>
      </c>
      <c r="B8" s="241"/>
      <c r="C8" s="241"/>
      <c r="D8" s="241"/>
      <c r="E8" s="241"/>
      <c r="F8" s="29"/>
      <c r="G8" s="241"/>
      <c r="H8" s="241"/>
      <c r="I8" s="241"/>
      <c r="J8" s="73">
        <f>SUM(B8:I8)</f>
        <v>0</v>
      </c>
    </row>
    <row r="9" spans="1:33" ht="15" customHeight="1" thickBot="1" x14ac:dyDescent="0.35">
      <c r="A9" s="116" t="s">
        <v>523</v>
      </c>
      <c r="B9" s="241"/>
      <c r="C9" s="241"/>
      <c r="D9" s="241"/>
      <c r="E9" s="241"/>
      <c r="F9" s="29"/>
      <c r="G9" s="241"/>
      <c r="H9" s="241"/>
      <c r="I9" s="241"/>
      <c r="J9" s="73">
        <f>SUM(B9:I9)</f>
        <v>0</v>
      </c>
    </row>
    <row r="10" spans="1:33" ht="15" thickBot="1" x14ac:dyDescent="0.35">
      <c r="A10" s="90" t="s">
        <v>101</v>
      </c>
      <c r="B10" s="139">
        <f>SUMIF(HK!A:A,"031*",HK!K:K)-SUMIF(HK!A:A,"031*",HK!L:L)</f>
        <v>99914.42</v>
      </c>
      <c r="C10" s="139">
        <f>SUMIF(HK!A:A,"021*",HK!K:K)-SUMIF(HK!A:A,"021*",HK!L:L)</f>
        <v>1323885.77</v>
      </c>
      <c r="D10" s="139">
        <f>SUMIF(HK!A:A,"022*",HK!K:K)-SUMIF(HK!A:A,"022*",HK!L:L)</f>
        <v>4066633.66</v>
      </c>
      <c r="E10" s="139">
        <f>SUMIF(HK!A:A,"025*",HK!K:K)-SUMIF(HK!A:A,"025*",HK!L:L)</f>
        <v>0</v>
      </c>
      <c r="F10" s="139">
        <f>SUMIF(HK!A:A,"026*",HK!K:K)-SUMIF(HK!A:A,"026*",HK!L:L)</f>
        <v>0</v>
      </c>
      <c r="G10" s="139">
        <f>SUMIF(HK!A:A,"029*",HK!K:K)-SUMIF(HK!A:A,"029*",HK!L:L)</f>
        <v>0</v>
      </c>
      <c r="H10" s="139">
        <f>SUMIF(HK!A:A,"042*",HK!K:K)-SUMIF(HK!A:A,"042*",HK!L:L)</f>
        <v>517995.39999999997</v>
      </c>
      <c r="I10" s="139">
        <f>SUMIF(HK!A:A,"052*",HK!K:K)-SUMIF(HK!A:A,"052*",HK!L:L)</f>
        <v>0</v>
      </c>
      <c r="J10" s="152">
        <f>J6+J7-J8+J9</f>
        <v>5434929.919999999</v>
      </c>
      <c r="L10" s="38"/>
    </row>
    <row r="11" spans="1:33" ht="15" customHeight="1" thickTop="1" thickBot="1" x14ac:dyDescent="0.35">
      <c r="A11" s="5" t="s">
        <v>306</v>
      </c>
      <c r="B11" s="145"/>
      <c r="C11" s="145"/>
      <c r="D11" s="145"/>
      <c r="E11" s="145"/>
      <c r="F11" s="145"/>
      <c r="G11" s="145"/>
      <c r="H11" s="145"/>
      <c r="I11" s="145"/>
      <c r="J11" s="118"/>
    </row>
    <row r="12" spans="1:33" ht="15" thickBot="1" x14ac:dyDescent="0.35">
      <c r="A12" s="216" t="s">
        <v>69</v>
      </c>
      <c r="B12" s="241"/>
      <c r="C12" s="139">
        <f>SUMIF(HK!A:A,"081*",HK!D:D)-SUMIF(HK!A:A,"081*",HK!C:C)</f>
        <v>722771</v>
      </c>
      <c r="D12" s="139">
        <f>SUMIF(HK!A:A,"082*",HK!D:D)-SUMIF(HK!A:A,"082*",HK!C:C)</f>
        <v>2886167.55</v>
      </c>
      <c r="E12" s="139">
        <f>SUMIF(HK!A:A,"085*",HK!D:D)-SUMIF(HK!A:A,"085*",HK!C:C)</f>
        <v>0</v>
      </c>
      <c r="F12" s="139">
        <f>SUMIF(HK!A:A,"086*",HK!D:D)-SUMIF(HK!A:A,"086*",HK!C:C)</f>
        <v>0</v>
      </c>
      <c r="G12" s="139">
        <f>SUMIF(HK!A:A,"089*",HK!D:D)-SUMIF(HK!A:A,"089*",HK!C:C)</f>
        <v>0</v>
      </c>
      <c r="H12" s="241"/>
      <c r="I12" s="241"/>
      <c r="J12" s="73">
        <f>SUM(B12:I12)</f>
        <v>3608938.55</v>
      </c>
      <c r="L12" s="38"/>
    </row>
    <row r="13" spans="1:33" ht="15" customHeight="1" thickBot="1" x14ac:dyDescent="0.35">
      <c r="A13" s="116" t="s">
        <v>1261</v>
      </c>
      <c r="B13" s="241"/>
      <c r="C13" s="241"/>
      <c r="D13" s="241"/>
      <c r="E13" s="241"/>
      <c r="F13" s="241"/>
      <c r="G13" s="241"/>
      <c r="H13" s="241"/>
      <c r="I13" s="241"/>
      <c r="J13" s="73">
        <f>SUM(B13:I13)</f>
        <v>0</v>
      </c>
    </row>
    <row r="14" spans="1:33" ht="15" customHeight="1" thickBot="1" x14ac:dyDescent="0.35">
      <c r="A14" s="116" t="s">
        <v>18</v>
      </c>
      <c r="B14" s="241"/>
      <c r="C14" s="241"/>
      <c r="D14" s="241"/>
      <c r="E14" s="241"/>
      <c r="F14" s="241"/>
      <c r="G14" s="241"/>
      <c r="H14" s="241"/>
      <c r="I14" s="241"/>
      <c r="J14" s="73">
        <f>SUM(B14:I14)</f>
        <v>0</v>
      </c>
    </row>
    <row r="15" spans="1:33" ht="15" customHeight="1" thickBot="1" x14ac:dyDescent="0.35">
      <c r="A15" s="5" t="s">
        <v>523</v>
      </c>
      <c r="B15" s="172"/>
      <c r="C15" s="241"/>
      <c r="D15" s="241"/>
      <c r="E15" s="241"/>
      <c r="F15" s="241"/>
      <c r="G15" s="241"/>
      <c r="H15" s="172"/>
      <c r="I15" s="29"/>
      <c r="J15" s="29"/>
    </row>
    <row r="16" spans="1:33" ht="15" thickBot="1" x14ac:dyDescent="0.35">
      <c r="A16" s="74" t="s">
        <v>101</v>
      </c>
      <c r="B16" s="49"/>
      <c r="C16" s="139">
        <f>SUMIF(HK!A:A,"081*",HK!L:L)-SUMIF(HK!A:A,"081*",HK!K:K)</f>
        <v>785582</v>
      </c>
      <c r="D16" s="139">
        <f>SUMIF(HK!A:A,"082*",HK!L:L)-SUMIF(HK!A:A,"082*",HK!K:K)</f>
        <v>3106599.55</v>
      </c>
      <c r="E16" s="139">
        <f>SUMIF(HK!A:A,"085*",HK!L:L)-SUMIF(HK!A:A,"085*",HK!K:K)</f>
        <v>0</v>
      </c>
      <c r="F16" s="139">
        <f>SUMIF(HK!A:A,"086*",HK!L:L)-SUMIF(HK!A:A,"086*",HK!K:K)</f>
        <v>0</v>
      </c>
      <c r="G16" s="139">
        <f>SUMIF(HK!A:A,"089*",HK!L:L)-SUMIF(HK!A:A,"089*",HK!K:K)</f>
        <v>0</v>
      </c>
      <c r="H16" s="49"/>
      <c r="I16" s="49"/>
      <c r="J16" s="152">
        <f>J12+J13-J14</f>
        <v>3608938.55</v>
      </c>
      <c r="L16" s="38"/>
    </row>
    <row r="17" spans="1:33" ht="15" customHeight="1" thickTop="1" thickBot="1" x14ac:dyDescent="0.35">
      <c r="A17" s="214" t="s">
        <v>1273</v>
      </c>
      <c r="B17" s="145"/>
      <c r="C17" s="145"/>
      <c r="D17" s="145"/>
      <c r="E17" s="145"/>
      <c r="F17" s="145"/>
      <c r="G17" s="145"/>
      <c r="H17" s="145"/>
      <c r="I17" s="145"/>
      <c r="J17" s="118"/>
    </row>
    <row r="18" spans="1:33" ht="15.6" thickTop="1" thickBot="1" x14ac:dyDescent="0.35">
      <c r="A18" s="216" t="s">
        <v>69</v>
      </c>
      <c r="B18" s="241"/>
      <c r="C18" s="139"/>
      <c r="D18" s="139"/>
      <c r="E18" s="139"/>
      <c r="F18" s="139"/>
      <c r="G18" s="139"/>
      <c r="H18" s="139">
        <f>SUMIF(HK!A:A,"094*",HK!D:D)-SUMIF(HK!A:A,"094*",HK!C:C)</f>
        <v>0</v>
      </c>
      <c r="I18" s="139">
        <f>SUMIF(SUAM!C:C,"019",SUAM!E:E)</f>
        <v>0</v>
      </c>
      <c r="J18" s="73">
        <f>SUM(B18:I18)</f>
        <v>0</v>
      </c>
      <c r="L18" s="38"/>
      <c r="M18" s="38"/>
      <c r="N18" s="124"/>
    </row>
    <row r="19" spans="1:33" ht="15" customHeight="1" thickBot="1" x14ac:dyDescent="0.35">
      <c r="A19" s="116" t="s">
        <v>1261</v>
      </c>
      <c r="B19" s="241"/>
      <c r="C19" s="241"/>
      <c r="D19" s="241"/>
      <c r="E19" s="241"/>
      <c r="F19" s="241"/>
      <c r="G19" s="241"/>
      <c r="H19" s="241"/>
      <c r="I19" s="241"/>
      <c r="J19" s="73">
        <f>SUM(B19:I19)</f>
        <v>0</v>
      </c>
      <c r="N19" s="124"/>
    </row>
    <row r="20" spans="1:33" ht="15" customHeight="1" thickBot="1" x14ac:dyDescent="0.35">
      <c r="A20" s="116" t="s">
        <v>18</v>
      </c>
      <c r="B20" s="241"/>
      <c r="C20" s="241"/>
      <c r="D20" s="241"/>
      <c r="E20" s="241"/>
      <c r="F20" s="241"/>
      <c r="G20" s="241"/>
      <c r="H20" s="241"/>
      <c r="I20" s="241"/>
      <c r="J20" s="73">
        <f>SUM(B20:I20)</f>
        <v>0</v>
      </c>
      <c r="N20" s="124"/>
    </row>
    <row r="21" spans="1:33" ht="15" customHeight="1" thickBot="1" x14ac:dyDescent="0.35">
      <c r="A21" s="46" t="s">
        <v>523</v>
      </c>
      <c r="B21" s="29"/>
      <c r="C21" s="241"/>
      <c r="D21" s="241"/>
      <c r="E21" s="241"/>
      <c r="F21" s="241"/>
      <c r="G21" s="241"/>
      <c r="H21" s="241"/>
      <c r="I21" s="241"/>
      <c r="J21" s="172"/>
      <c r="N21" s="124"/>
    </row>
    <row r="22" spans="1:33" ht="15" thickBot="1" x14ac:dyDescent="0.35">
      <c r="A22" s="74" t="s">
        <v>101</v>
      </c>
      <c r="B22" s="49"/>
      <c r="C22" s="139"/>
      <c r="D22" s="139"/>
      <c r="E22" s="139"/>
      <c r="F22" s="139"/>
      <c r="G22" s="139"/>
      <c r="H22" s="139">
        <f>SUMIF(HK!A:A,"094*",HK!L:L)-SUMIF(HK!A:A,"094*",HK!K:K)</f>
        <v>0</v>
      </c>
      <c r="I22" s="139">
        <f>SUMIF(SUA!C:C,"019",SUA!E:E)</f>
        <v>0</v>
      </c>
      <c r="J22" s="152">
        <f>J18+J19-J20</f>
        <v>0</v>
      </c>
      <c r="L22" s="38"/>
      <c r="M22" s="38"/>
      <c r="N22" s="124"/>
    </row>
    <row r="23" spans="1:33" ht="15" customHeight="1" thickTop="1" thickBot="1" x14ac:dyDescent="0.35">
      <c r="A23" s="214" t="s">
        <v>705</v>
      </c>
      <c r="B23" s="145"/>
      <c r="C23" s="145"/>
      <c r="D23" s="145"/>
      <c r="E23" s="145"/>
      <c r="F23" s="145"/>
      <c r="G23" s="145"/>
      <c r="H23" s="145"/>
      <c r="I23" s="145"/>
      <c r="J23" s="118"/>
    </row>
    <row r="24" spans="1:33" ht="15" customHeight="1" thickTop="1" thickBot="1" x14ac:dyDescent="0.35">
      <c r="A24" s="216" t="s">
        <v>69</v>
      </c>
      <c r="B24" s="241"/>
      <c r="C24" s="241"/>
      <c r="D24" s="241"/>
      <c r="E24" s="241"/>
      <c r="F24" s="241"/>
      <c r="G24" s="241"/>
      <c r="H24" s="241"/>
      <c r="I24" s="241"/>
      <c r="J24" s="73">
        <f>J6-J12-J18</f>
        <v>1825991.3699999992</v>
      </c>
    </row>
    <row r="25" spans="1:33" ht="15" customHeight="1" thickBot="1" x14ac:dyDescent="0.35">
      <c r="A25" s="74" t="s">
        <v>101</v>
      </c>
      <c r="B25" s="49"/>
      <c r="C25" s="49"/>
      <c r="D25" s="49"/>
      <c r="E25" s="49"/>
      <c r="F25" s="49"/>
      <c r="G25" s="49"/>
      <c r="H25" s="49"/>
      <c r="I25" s="49"/>
      <c r="J25" s="152">
        <f>J10-J16-J22</f>
        <v>1825991.3699999992</v>
      </c>
    </row>
    <row r="26" spans="1:33" ht="15" thickTop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" thickBot="1" x14ac:dyDescent="0.35">
      <c r="A28" s="7" t="s">
        <v>8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5">
      <c r="A29" s="260" t="s">
        <v>597</v>
      </c>
      <c r="B29" s="263" t="s">
        <v>860</v>
      </c>
      <c r="C29" s="264"/>
      <c r="D29" s="264"/>
      <c r="E29" s="264"/>
      <c r="F29" s="264"/>
      <c r="G29" s="264"/>
      <c r="H29" s="264"/>
      <c r="I29" s="264"/>
      <c r="J29" s="265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62.25" customHeight="1" thickTop="1" thickBot="1" x14ac:dyDescent="0.35">
      <c r="A30" s="262"/>
      <c r="B30" s="247" t="s">
        <v>1070</v>
      </c>
      <c r="C30" s="247" t="s">
        <v>515</v>
      </c>
      <c r="D30" s="247" t="s">
        <v>879</v>
      </c>
      <c r="E30" s="247" t="s">
        <v>121</v>
      </c>
      <c r="F30" s="247" t="s">
        <v>294</v>
      </c>
      <c r="G30" s="247" t="s">
        <v>1274</v>
      </c>
      <c r="H30" s="247" t="s">
        <v>42</v>
      </c>
      <c r="I30" s="247" t="s">
        <v>1165</v>
      </c>
      <c r="J30" s="247" t="s">
        <v>1027</v>
      </c>
    </row>
    <row r="31" spans="1:33" ht="15" customHeight="1" thickTop="1" thickBot="1" x14ac:dyDescent="0.35">
      <c r="A31" s="214" t="s">
        <v>1288</v>
      </c>
      <c r="B31" s="111"/>
      <c r="C31" s="111"/>
      <c r="D31" s="111"/>
      <c r="E31" s="111"/>
      <c r="F31" s="111"/>
      <c r="G31" s="111"/>
      <c r="H31" s="111"/>
      <c r="I31" s="111"/>
      <c r="J31" s="118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</row>
    <row r="32" spans="1:33" ht="15.6" thickTop="1" thickBot="1" x14ac:dyDescent="0.35">
      <c r="A32" s="216" t="s">
        <v>1107</v>
      </c>
      <c r="B32" s="139">
        <f>SUMIF(HKM!A:A,"031*",HKM!C:C)-SUMIF(HKM!A:A,"031*",HKM!D:D)</f>
        <v>99914.42</v>
      </c>
      <c r="C32" s="139">
        <f>SUMIF(HKM!A:A,"021*",HKM!C:C)-SUMIF(HKM!A:A,"021*",HKM!D:D)</f>
        <v>1323885.77</v>
      </c>
      <c r="D32" s="139">
        <f>SUMIF(HKM!A:A,"022*",HKM!C:C)-SUMIF(HKM!A:A,"022*",HKM!D:D)</f>
        <v>3100732.57</v>
      </c>
      <c r="E32" s="139">
        <f>SUMIF(HKM!A:A,"025*",HKM!C:C)-SUMIF(HKM!A:A,"025*",HKM!D:D)</f>
        <v>0</v>
      </c>
      <c r="F32" s="139">
        <f>SUMIF(HKM!A:A,"026*",HKM!C:C)-SUMIF(HKM!A:A,"026*",HKM!D:D)</f>
        <v>0</v>
      </c>
      <c r="G32" s="139">
        <f>SUMIF(HKM!A:A,"029*",HKM!C:C)-SUMIF(HKM!A:A,"029*",HKM!D:D)</f>
        <v>0</v>
      </c>
      <c r="H32" s="139">
        <f>SUMIF(HKM!A:A,"042*",HKM!C:C)-SUMIF(HKM!A:A,"042*",HKM!D:D)</f>
        <v>174871.74</v>
      </c>
      <c r="I32" s="139">
        <f>SUMIF(HKM!A:A,"052*",HKM!C:C)-SUMIF(HKM!A:A,"052*",HKM!D:D)</f>
        <v>0</v>
      </c>
      <c r="J32" s="73">
        <f>SUM(B32:I32)</f>
        <v>4699404.5</v>
      </c>
      <c r="L32" s="38"/>
    </row>
    <row r="33" spans="1:14" ht="15" customHeight="1" thickBot="1" x14ac:dyDescent="0.35">
      <c r="A33" s="116" t="s">
        <v>1261</v>
      </c>
      <c r="B33" s="241"/>
      <c r="C33" s="241"/>
      <c r="D33" s="241"/>
      <c r="E33" s="241"/>
      <c r="F33" s="29"/>
      <c r="G33" s="241"/>
      <c r="H33" s="241"/>
      <c r="I33" s="241"/>
      <c r="J33" s="73">
        <f>SUM(B33:I33)</f>
        <v>0</v>
      </c>
    </row>
    <row r="34" spans="1:14" ht="15" customHeight="1" thickBot="1" x14ac:dyDescent="0.35">
      <c r="A34" s="116" t="s">
        <v>18</v>
      </c>
      <c r="B34" s="241"/>
      <c r="C34" s="241"/>
      <c r="D34" s="241"/>
      <c r="E34" s="241"/>
      <c r="F34" s="29"/>
      <c r="G34" s="241"/>
      <c r="H34" s="241"/>
      <c r="I34" s="241"/>
      <c r="J34" s="73">
        <f>SUM(B34:I34)</f>
        <v>0</v>
      </c>
    </row>
    <row r="35" spans="1:14" ht="15" customHeight="1" thickBot="1" x14ac:dyDescent="0.35">
      <c r="A35" s="116" t="s">
        <v>523</v>
      </c>
      <c r="B35" s="241"/>
      <c r="C35" s="241"/>
      <c r="D35" s="241"/>
      <c r="E35" s="241"/>
      <c r="F35" s="29"/>
      <c r="G35" s="241"/>
      <c r="H35" s="241"/>
      <c r="I35" s="241"/>
      <c r="J35" s="73">
        <f>SUM(B35:I35)</f>
        <v>0</v>
      </c>
    </row>
    <row r="36" spans="1:14" ht="15" thickBot="1" x14ac:dyDescent="0.35">
      <c r="A36" s="74" t="s">
        <v>101</v>
      </c>
      <c r="B36" s="139">
        <f>SUMIF(HKM!A:A,"031*",HKM!K:K)-SUMIF(HKM!A:A,"031*",HKM!L:L)</f>
        <v>99914.42</v>
      </c>
      <c r="C36" s="139">
        <f>SUMIF(HKM!A:A,"021*",HKM!K:K)-SUMIF(HKM!A:A,"021*",HKM!L:L)</f>
        <v>1323885.77</v>
      </c>
      <c r="D36" s="139">
        <f>SUMIF(HKM!A:A,"022*",HKM!K:K)-SUMIF(HKM!A:A,"022*",HKM!L:L)</f>
        <v>3505354.76</v>
      </c>
      <c r="E36" s="139">
        <f>SUMIF(HKM!A:A,"025*",HKM!K:K)-SUMIF(HKM!A:A,"025*",HKM!L:L)</f>
        <v>0</v>
      </c>
      <c r="F36" s="139">
        <f>SUMIF(HKM!A:A,"026*",HKM!K:K)-SUMIF(HKM!A:A,"026*",HKM!L:L)</f>
        <v>0</v>
      </c>
      <c r="G36" s="139">
        <f>SUMIF(HKM!A:A,"029*",HKM!K:K)-SUMIF(HKM!A:A,"029*",HKM!L:L)</f>
        <v>0</v>
      </c>
      <c r="H36" s="139">
        <f>SUMIF(HKM!A:A,"042*",HKM!K:K)-SUMIF(HKM!A:A,"042*",HKM!L:L)</f>
        <v>505774.97</v>
      </c>
      <c r="I36" s="139">
        <f>SUMIF(HKM!A:A,"052*",HKM!K:K)-SUMIF(HKM!A:A,"052*",HKM!L:L)</f>
        <v>0</v>
      </c>
      <c r="J36" s="152">
        <f>J32+J33-J34+J35</f>
        <v>4699404.5</v>
      </c>
      <c r="L36" s="38"/>
    </row>
    <row r="37" spans="1:14" ht="15" customHeight="1" thickTop="1" thickBot="1" x14ac:dyDescent="0.35">
      <c r="A37" s="214" t="s">
        <v>306</v>
      </c>
      <c r="B37" s="145"/>
      <c r="C37" s="145"/>
      <c r="D37" s="145"/>
      <c r="E37" s="145"/>
      <c r="F37" s="145"/>
      <c r="G37" s="145"/>
      <c r="H37" s="145"/>
      <c r="I37" s="145"/>
      <c r="J37" s="118"/>
    </row>
    <row r="38" spans="1:14" ht="15.6" thickTop="1" thickBot="1" x14ac:dyDescent="0.35">
      <c r="A38" s="216" t="s">
        <v>69</v>
      </c>
      <c r="B38" s="241"/>
      <c r="C38" s="139">
        <f>SUMIF(HKM!A:A,"081*",HKM!D:D)-SUMIF(HKM!A:A,"081*",HKM!C:C)</f>
        <v>635952</v>
      </c>
      <c r="D38" s="139">
        <f>SUMIF(HKM!A:A,"082*",HKM!D:D)-SUMIF(HKM!A:A,"082*",HKM!C:C)</f>
        <v>2701510.83</v>
      </c>
      <c r="E38" s="139">
        <f>SUMIF(HKM!A:A,"085*",HKM!D:D)-SUMIF(HKM!A:A,"085*",HKM!C:C)</f>
        <v>0</v>
      </c>
      <c r="F38" s="139">
        <f>SUMIF(HKM!A:A,"086*",HKM!D:D)-SUMIF(HKM!A:A,"086*",HKM!C:C)</f>
        <v>0</v>
      </c>
      <c r="G38" s="139">
        <f>SUMIF(HKM!A:A,"089*",HKM!D:D)-SUMIF(HKM!A:A,"089*",HKM!C:C)</f>
        <v>0</v>
      </c>
      <c r="H38" s="241"/>
      <c r="I38" s="241"/>
      <c r="J38" s="73">
        <f>SUM(B38:I38)</f>
        <v>3337462.83</v>
      </c>
      <c r="L38" s="38"/>
    </row>
    <row r="39" spans="1:14" ht="15" customHeight="1" thickBot="1" x14ac:dyDescent="0.35">
      <c r="A39" s="116" t="s">
        <v>1261</v>
      </c>
      <c r="B39" s="241"/>
      <c r="C39" s="241"/>
      <c r="D39" s="241"/>
      <c r="E39" s="241"/>
      <c r="F39" s="241"/>
      <c r="G39" s="241"/>
      <c r="H39" s="241"/>
      <c r="I39" s="241"/>
      <c r="J39" s="73">
        <f>SUM(B39:I39)</f>
        <v>0</v>
      </c>
    </row>
    <row r="40" spans="1:14" ht="15" customHeight="1" thickBot="1" x14ac:dyDescent="0.35">
      <c r="A40" s="116" t="s">
        <v>18</v>
      </c>
      <c r="B40" s="241"/>
      <c r="C40" s="241"/>
      <c r="D40" s="241"/>
      <c r="E40" s="241"/>
      <c r="F40" s="241"/>
      <c r="G40" s="241"/>
      <c r="H40" s="241"/>
      <c r="I40" s="241"/>
      <c r="J40" s="73">
        <f>SUM(B40:I40)</f>
        <v>0</v>
      </c>
    </row>
    <row r="41" spans="1:14" ht="15" customHeight="1" thickBot="1" x14ac:dyDescent="0.35">
      <c r="A41" s="46" t="s">
        <v>523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" thickBot="1" x14ac:dyDescent="0.35">
      <c r="A42" s="74" t="s">
        <v>101</v>
      </c>
      <c r="B42" s="49"/>
      <c r="C42" s="139">
        <f>SUMIF(HKM!A:A,"081*",HKM!L:L)-SUMIF(HKM!A:A,"081*",HKM!K:K)</f>
        <v>722771</v>
      </c>
      <c r="D42" s="139">
        <f>SUMIF(HKM!A:A,"082*",HKM!L:L)-SUMIF(HKM!A:A,"082*",HKM!K:K)</f>
        <v>2886167.55</v>
      </c>
      <c r="E42" s="139">
        <f>SUMIF(HKM!A:A,"085*",HKM!L:L)-SUMIF(HKM!A:A,"085*",HKM!K:K)</f>
        <v>0</v>
      </c>
      <c r="F42" s="139">
        <f>SUMIF(HKM!A:A,"086*",HKM!L:L)-SUMIF(HKM!A:A,"086*",HKM!K:K)</f>
        <v>0</v>
      </c>
      <c r="G42" s="139">
        <f>SUMIF(HKM!A:A,"089*",HKM!L:L)-SUMIF(HKM!A:A,"089*",HKM!K:K)</f>
        <v>0</v>
      </c>
      <c r="H42" s="49"/>
      <c r="I42" s="49"/>
      <c r="J42" s="152">
        <f>J38+J39-J40</f>
        <v>3337462.83</v>
      </c>
      <c r="L42" s="38"/>
    </row>
    <row r="43" spans="1:14" ht="15" customHeight="1" thickTop="1" thickBot="1" x14ac:dyDescent="0.35">
      <c r="A43" s="214" t="s">
        <v>1273</v>
      </c>
      <c r="B43" s="145"/>
      <c r="C43" s="145"/>
      <c r="D43" s="145"/>
      <c r="E43" s="145"/>
      <c r="F43" s="145"/>
      <c r="G43" s="145"/>
      <c r="H43" s="145"/>
      <c r="I43" s="145"/>
      <c r="J43" s="118"/>
    </row>
    <row r="44" spans="1:14" ht="15.6" thickTop="1" thickBot="1" x14ac:dyDescent="0.35">
      <c r="A44" s="216" t="s">
        <v>69</v>
      </c>
      <c r="B44" s="241"/>
      <c r="C44" s="139"/>
      <c r="D44" s="139"/>
      <c r="E44" s="139"/>
      <c r="F44" s="139"/>
      <c r="G44" s="139"/>
      <c r="H44" s="139">
        <f>SUMIF(HKM!A:A,"094*",HKM!D:D)-SUMIF(HKM!A:A,"094*",HKM!C:C)</f>
        <v>0</v>
      </c>
      <c r="I44" s="139"/>
      <c r="J44" s="73">
        <f>SUM(B44:I44)</f>
        <v>0</v>
      </c>
      <c r="L44" s="38"/>
      <c r="M44" s="213"/>
      <c r="N44" s="124"/>
    </row>
    <row r="45" spans="1:14" ht="15" customHeight="1" thickBot="1" x14ac:dyDescent="0.35">
      <c r="A45" s="116" t="s">
        <v>1261</v>
      </c>
      <c r="B45" s="241"/>
      <c r="C45" s="241"/>
      <c r="D45" s="241"/>
      <c r="E45" s="241"/>
      <c r="F45" s="241"/>
      <c r="G45" s="241"/>
      <c r="H45" s="241"/>
      <c r="I45" s="241"/>
      <c r="J45" s="73">
        <f>SUM(B45:I45)</f>
        <v>0</v>
      </c>
      <c r="N45" s="124"/>
    </row>
    <row r="46" spans="1:14" ht="15" customHeight="1" thickBot="1" x14ac:dyDescent="0.35">
      <c r="A46" s="116" t="s">
        <v>18</v>
      </c>
      <c r="B46" s="241"/>
      <c r="C46" s="241"/>
      <c r="D46" s="241"/>
      <c r="E46" s="241"/>
      <c r="F46" s="241"/>
      <c r="G46" s="241"/>
      <c r="H46" s="241"/>
      <c r="I46" s="241"/>
      <c r="J46" s="73">
        <f>SUM(B46:I46)</f>
        <v>0</v>
      </c>
      <c r="N46" s="124"/>
    </row>
    <row r="47" spans="1:14" ht="15" customHeight="1" thickBot="1" x14ac:dyDescent="0.35">
      <c r="A47" s="46" t="s">
        <v>523</v>
      </c>
      <c r="B47" s="29"/>
      <c r="C47" s="29"/>
      <c r="D47" s="29"/>
      <c r="E47" s="29"/>
      <c r="F47" s="29"/>
      <c r="G47" s="29"/>
      <c r="H47" s="29"/>
      <c r="I47" s="29"/>
      <c r="J47" s="29"/>
      <c r="N47" s="124"/>
    </row>
    <row r="48" spans="1:14" ht="15" thickBot="1" x14ac:dyDescent="0.35">
      <c r="A48" s="74" t="s">
        <v>101</v>
      </c>
      <c r="B48" s="49"/>
      <c r="C48" s="139"/>
      <c r="D48" s="139"/>
      <c r="E48" s="139"/>
      <c r="F48" s="139"/>
      <c r="G48" s="139"/>
      <c r="H48" s="139">
        <f>SUMIF(HKM!A:A,"094*",HKM!L:L)-SUMIF(HKM!A:A,"094*",HKM!K:K)</f>
        <v>0</v>
      </c>
      <c r="I48" s="139">
        <f>SUMIF(SUAM!C:C,"019",SUAM!E:E)</f>
        <v>0</v>
      </c>
      <c r="J48" s="152">
        <f>J44+J45-J46</f>
        <v>0</v>
      </c>
      <c r="L48" s="38"/>
      <c r="N48" s="124"/>
    </row>
    <row r="49" spans="1:10" ht="15" customHeight="1" thickTop="1" thickBot="1" x14ac:dyDescent="0.35">
      <c r="A49" s="214" t="s">
        <v>705</v>
      </c>
      <c r="B49" s="145"/>
      <c r="C49" s="145"/>
      <c r="D49" s="145"/>
      <c r="E49" s="145"/>
      <c r="F49" s="145"/>
      <c r="G49" s="145"/>
      <c r="H49" s="145"/>
      <c r="I49" s="145"/>
      <c r="J49" s="118"/>
    </row>
    <row r="50" spans="1:10" ht="15" customHeight="1" thickTop="1" thickBot="1" x14ac:dyDescent="0.35">
      <c r="A50" s="216" t="s">
        <v>69</v>
      </c>
      <c r="B50" s="241">
        <f t="shared" ref="B50:J50" si="0">B32-B38-B44</f>
        <v>99914.42</v>
      </c>
      <c r="C50" s="241">
        <f t="shared" si="0"/>
        <v>687933.77</v>
      </c>
      <c r="D50" s="241">
        <f t="shared" si="0"/>
        <v>399221.73999999976</v>
      </c>
      <c r="E50" s="241">
        <f t="shared" si="0"/>
        <v>0</v>
      </c>
      <c r="F50" s="241">
        <f t="shared" si="0"/>
        <v>0</v>
      </c>
      <c r="G50" s="241">
        <f t="shared" si="0"/>
        <v>0</v>
      </c>
      <c r="H50" s="241">
        <f t="shared" si="0"/>
        <v>174871.74</v>
      </c>
      <c r="I50" s="241">
        <f t="shared" si="0"/>
        <v>0</v>
      </c>
      <c r="J50" s="73">
        <f t="shared" si="0"/>
        <v>1361941.67</v>
      </c>
    </row>
    <row r="51" spans="1:10" ht="15" customHeight="1" thickBot="1" x14ac:dyDescent="0.35">
      <c r="A51" s="74" t="s">
        <v>101</v>
      </c>
      <c r="B51" s="49">
        <f t="shared" ref="B51:J51" si="1">B36-B42-B48</f>
        <v>99914.42</v>
      </c>
      <c r="C51" s="49">
        <f t="shared" si="1"/>
        <v>601114.77</v>
      </c>
      <c r="D51" s="49">
        <f t="shared" si="1"/>
        <v>619187.21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505774.97</v>
      </c>
      <c r="I51" s="49">
        <f t="shared" si="1"/>
        <v>0</v>
      </c>
      <c r="J51" s="152">
        <f t="shared" si="1"/>
        <v>1361941.67</v>
      </c>
    </row>
    <row r="52" spans="1:10" ht="15" thickTop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zoomScaleNormal="100" zoomScaleSheetLayoutView="100" workbookViewId="0"/>
  </sheetViews>
  <sheetFormatPr defaultColWidth="9.109375" defaultRowHeight="14.4" x14ac:dyDescent="0.3"/>
  <cols>
    <col min="1" max="1" width="9.109375" style="2"/>
    <col min="2" max="2" width="79.44140625" style="2" customWidth="1"/>
    <col min="3" max="3" width="4.44140625" style="58" customWidth="1"/>
    <col min="4" max="7" width="15.33203125" style="236" customWidth="1"/>
    <col min="8" max="16384" width="9.109375" style="112"/>
  </cols>
  <sheetData>
    <row r="1" spans="1:7" ht="20.399999999999999" x14ac:dyDescent="0.3">
      <c r="A1" s="11" t="s">
        <v>743</v>
      </c>
      <c r="B1" s="11" t="s">
        <v>255</v>
      </c>
      <c r="C1" s="51" t="s">
        <v>898</v>
      </c>
      <c r="D1" s="157" t="s">
        <v>1226</v>
      </c>
      <c r="E1" s="157" t="s">
        <v>444</v>
      </c>
      <c r="F1" s="157" t="s">
        <v>349</v>
      </c>
      <c r="G1" s="157" t="s">
        <v>536</v>
      </c>
    </row>
    <row r="2" spans="1:7" x14ac:dyDescent="0.3">
      <c r="A2" s="70" t="s">
        <v>1110</v>
      </c>
      <c r="B2" s="70" t="s">
        <v>742</v>
      </c>
      <c r="C2" s="246" t="s">
        <v>451</v>
      </c>
      <c r="D2" s="176">
        <v>6546353.8600000003</v>
      </c>
      <c r="E2" s="176">
        <v>7802533.9299999997</v>
      </c>
      <c r="F2" s="176">
        <v>6546353.8600000003</v>
      </c>
      <c r="G2" s="176">
        <v>7802534</v>
      </c>
    </row>
    <row r="3" spans="1:7" x14ac:dyDescent="0.3">
      <c r="A3" s="70" t="s">
        <v>942</v>
      </c>
      <c r="B3" s="70" t="s">
        <v>1244</v>
      </c>
      <c r="C3" s="246" t="s">
        <v>168</v>
      </c>
      <c r="D3" s="144">
        <v>2906610.15</v>
      </c>
      <c r="E3" s="144">
        <v>2905597.87</v>
      </c>
      <c r="F3" s="144">
        <v>2906610.15</v>
      </c>
      <c r="G3" s="144">
        <v>2905598</v>
      </c>
    </row>
    <row r="4" spans="1:7" x14ac:dyDescent="0.3">
      <c r="A4" s="70" t="s">
        <v>1168</v>
      </c>
      <c r="B4" s="70" t="s">
        <v>39</v>
      </c>
      <c r="C4" s="246" t="s">
        <v>806</v>
      </c>
      <c r="D4" s="176">
        <v>1327757</v>
      </c>
      <c r="E4" s="176">
        <v>1327757</v>
      </c>
      <c r="F4" s="176">
        <v>1327757</v>
      </c>
      <c r="G4" s="176">
        <v>1327757</v>
      </c>
    </row>
    <row r="5" spans="1:7" x14ac:dyDescent="0.3">
      <c r="A5" s="70" t="s">
        <v>453</v>
      </c>
      <c r="B5" s="70" t="s">
        <v>334</v>
      </c>
      <c r="C5" s="246" t="s">
        <v>1225</v>
      </c>
      <c r="D5" s="176">
        <v>1327757</v>
      </c>
      <c r="E5" s="176">
        <v>1327757</v>
      </c>
      <c r="F5" s="176">
        <v>1327757</v>
      </c>
      <c r="G5" s="176">
        <v>1327757</v>
      </c>
    </row>
    <row r="6" spans="1:7" x14ac:dyDescent="0.3">
      <c r="A6" s="70" t="s">
        <v>1042</v>
      </c>
      <c r="B6" s="70" t="s">
        <v>891</v>
      </c>
      <c r="C6" s="246" t="s">
        <v>139</v>
      </c>
      <c r="D6" s="162">
        <v>0</v>
      </c>
      <c r="E6" s="176">
        <v>0</v>
      </c>
      <c r="F6" s="162">
        <v>0</v>
      </c>
      <c r="G6" s="176">
        <v>0</v>
      </c>
    </row>
    <row r="7" spans="1:7" x14ac:dyDescent="0.3">
      <c r="A7" s="70" t="s">
        <v>239</v>
      </c>
      <c r="B7" s="70" t="s">
        <v>904</v>
      </c>
      <c r="C7" s="246" t="s">
        <v>271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3">
      <c r="A8" s="70" t="s">
        <v>93</v>
      </c>
      <c r="B8" s="70" t="s">
        <v>921</v>
      </c>
      <c r="C8" s="246" t="s">
        <v>719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3">
      <c r="A9" s="70" t="s">
        <v>1090</v>
      </c>
      <c r="B9" s="70" t="s">
        <v>764</v>
      </c>
      <c r="C9" s="246" t="s">
        <v>822</v>
      </c>
      <c r="D9" s="176">
        <v>664000</v>
      </c>
      <c r="E9" s="176">
        <v>664000</v>
      </c>
      <c r="F9" s="176">
        <v>664000</v>
      </c>
      <c r="G9" s="176">
        <v>664000</v>
      </c>
    </row>
    <row r="10" spans="1:7" x14ac:dyDescent="0.3">
      <c r="A10" s="70" t="s">
        <v>858</v>
      </c>
      <c r="B10" s="70" t="s">
        <v>150</v>
      </c>
      <c r="C10" s="246" t="s">
        <v>809</v>
      </c>
      <c r="D10" s="176">
        <v>132775.70000000001</v>
      </c>
      <c r="E10" s="176">
        <v>132775.70000000001</v>
      </c>
      <c r="F10" s="176">
        <v>132775.70000000001</v>
      </c>
      <c r="G10" s="176">
        <v>132776</v>
      </c>
    </row>
    <row r="11" spans="1:7" x14ac:dyDescent="0.3">
      <c r="A11" s="70" t="s">
        <v>246</v>
      </c>
      <c r="B11" s="70" t="s">
        <v>418</v>
      </c>
      <c r="C11" s="246" t="s">
        <v>449</v>
      </c>
      <c r="D11" s="176">
        <v>132775.70000000001</v>
      </c>
      <c r="E11" s="176">
        <v>132775.70000000001</v>
      </c>
      <c r="F11" s="176">
        <v>132775.70000000001</v>
      </c>
      <c r="G11" s="176">
        <v>132776</v>
      </c>
    </row>
    <row r="12" spans="1:7" x14ac:dyDescent="0.3">
      <c r="A12" s="70" t="s">
        <v>1042</v>
      </c>
      <c r="B12" s="70" t="s">
        <v>745</v>
      </c>
      <c r="C12" s="246" t="s">
        <v>26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3">
      <c r="A13" s="70" t="s">
        <v>902</v>
      </c>
      <c r="B13" s="70" t="s">
        <v>472</v>
      </c>
      <c r="C13" s="246" t="s">
        <v>1209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3">
      <c r="A14" s="70" t="s">
        <v>238</v>
      </c>
      <c r="B14" s="70" t="s">
        <v>190</v>
      </c>
      <c r="C14" s="246" t="s">
        <v>971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3">
      <c r="A15" s="70" t="s">
        <v>215</v>
      </c>
      <c r="B15" s="70" t="s">
        <v>908</v>
      </c>
      <c r="C15" s="246" t="s">
        <v>1049</v>
      </c>
      <c r="D15" s="162">
        <v>0</v>
      </c>
      <c r="E15" s="176">
        <v>0</v>
      </c>
      <c r="F15" s="162">
        <v>0</v>
      </c>
      <c r="G15" s="176">
        <v>0</v>
      </c>
    </row>
    <row r="16" spans="1:7" x14ac:dyDescent="0.3">
      <c r="A16" s="70" t="s">
        <v>1246</v>
      </c>
      <c r="B16" s="70" t="s">
        <v>771</v>
      </c>
      <c r="C16" s="246" t="s">
        <v>1171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3">
      <c r="A17" s="70" t="s">
        <v>867</v>
      </c>
      <c r="B17" s="70" t="s">
        <v>639</v>
      </c>
      <c r="C17" s="246" t="s">
        <v>358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3">
      <c r="A18" s="70" t="s">
        <v>1042</v>
      </c>
      <c r="B18" s="70" t="s">
        <v>838</v>
      </c>
      <c r="C18" s="246" t="s">
        <v>559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3">
      <c r="A19" s="70" t="s">
        <v>239</v>
      </c>
      <c r="B19" s="70" t="s">
        <v>41</v>
      </c>
      <c r="C19" s="246" t="s">
        <v>1159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3">
      <c r="A20" s="70" t="s">
        <v>1000</v>
      </c>
      <c r="B20" s="70" t="s">
        <v>1262</v>
      </c>
      <c r="C20" s="246" t="s">
        <v>989</v>
      </c>
      <c r="D20" s="176">
        <v>733200.66</v>
      </c>
      <c r="E20" s="176">
        <v>724891.1</v>
      </c>
      <c r="F20" s="176">
        <v>733200.66</v>
      </c>
      <c r="G20" s="176">
        <v>724891</v>
      </c>
    </row>
    <row r="21" spans="1:7" x14ac:dyDescent="0.3">
      <c r="A21" s="70" t="s">
        <v>1156</v>
      </c>
      <c r="B21" s="70" t="s">
        <v>1326</v>
      </c>
      <c r="C21" s="246" t="s">
        <v>755</v>
      </c>
      <c r="D21" s="176">
        <v>733200.66</v>
      </c>
      <c r="E21" s="176">
        <v>724891.1</v>
      </c>
      <c r="F21" s="176">
        <v>733200.66</v>
      </c>
      <c r="G21" s="176">
        <v>724891</v>
      </c>
    </row>
    <row r="22" spans="1:7" x14ac:dyDescent="0.3">
      <c r="A22" s="70" t="s">
        <v>1042</v>
      </c>
      <c r="B22" s="70" t="s">
        <v>48</v>
      </c>
      <c r="C22" s="246" t="s">
        <v>691</v>
      </c>
      <c r="D22" s="162">
        <v>0</v>
      </c>
      <c r="E22" s="176">
        <v>0</v>
      </c>
      <c r="F22" s="162">
        <v>0</v>
      </c>
      <c r="G22" s="176">
        <v>0</v>
      </c>
    </row>
    <row r="23" spans="1:7" x14ac:dyDescent="0.3">
      <c r="A23" s="70" t="s">
        <v>322</v>
      </c>
      <c r="B23" s="70" t="s">
        <v>767</v>
      </c>
      <c r="C23" s="246" t="s">
        <v>398</v>
      </c>
      <c r="D23" s="176">
        <v>48876.79</v>
      </c>
      <c r="E23" s="176">
        <v>56174.07</v>
      </c>
      <c r="F23" s="176">
        <v>48876.79</v>
      </c>
      <c r="G23" s="176">
        <v>56174</v>
      </c>
    </row>
    <row r="24" spans="1:7" x14ac:dyDescent="0.3">
      <c r="A24" s="70" t="s">
        <v>372</v>
      </c>
      <c r="B24" s="70" t="s">
        <v>411</v>
      </c>
      <c r="C24" s="246" t="s">
        <v>307</v>
      </c>
      <c r="D24" s="176">
        <v>3639743.71</v>
      </c>
      <c r="E24" s="176">
        <v>4896936.0599999996</v>
      </c>
      <c r="F24" s="176">
        <v>3639743.71</v>
      </c>
      <c r="G24" s="176">
        <v>4896936</v>
      </c>
    </row>
    <row r="25" spans="1:7" x14ac:dyDescent="0.3">
      <c r="A25" s="70" t="s">
        <v>380</v>
      </c>
      <c r="B25" s="70" t="s">
        <v>438</v>
      </c>
      <c r="C25" s="246" t="s">
        <v>1190</v>
      </c>
      <c r="D25" s="176">
        <v>16612.169999999998</v>
      </c>
      <c r="E25" s="176">
        <v>16612.169999999998</v>
      </c>
      <c r="F25" s="176">
        <v>16612.169999999998</v>
      </c>
      <c r="G25" s="176">
        <v>16612</v>
      </c>
    </row>
    <row r="26" spans="1:7" x14ac:dyDescent="0.3">
      <c r="A26" s="70" t="s">
        <v>289</v>
      </c>
      <c r="B26" s="70" t="s">
        <v>23</v>
      </c>
      <c r="C26" s="246" t="s">
        <v>100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3">
      <c r="A27" s="70" t="s">
        <v>835</v>
      </c>
      <c r="B27" s="70" t="s">
        <v>1228</v>
      </c>
      <c r="C27" s="246" t="s">
        <v>1210</v>
      </c>
      <c r="D27" s="162">
        <v>0</v>
      </c>
      <c r="E27" s="176">
        <v>0</v>
      </c>
      <c r="F27" s="162">
        <v>0</v>
      </c>
      <c r="G27" s="176">
        <v>0</v>
      </c>
    </row>
    <row r="28" spans="1:7" x14ac:dyDescent="0.3">
      <c r="A28" s="70" t="s">
        <v>456</v>
      </c>
      <c r="B28" s="70" t="s">
        <v>630</v>
      </c>
      <c r="C28" s="246" t="s">
        <v>1064</v>
      </c>
      <c r="D28" s="162">
        <v>0</v>
      </c>
      <c r="E28" s="176">
        <v>0</v>
      </c>
      <c r="F28" s="162">
        <v>0</v>
      </c>
      <c r="G28" s="176">
        <v>0</v>
      </c>
    </row>
    <row r="29" spans="1:7" x14ac:dyDescent="0.3">
      <c r="A29" s="70" t="s">
        <v>538</v>
      </c>
      <c r="B29" s="70" t="s">
        <v>513</v>
      </c>
      <c r="C29" s="246" t="s">
        <v>154</v>
      </c>
      <c r="D29" s="162">
        <v>0</v>
      </c>
      <c r="E29" s="176">
        <v>0</v>
      </c>
      <c r="F29" s="162">
        <v>0</v>
      </c>
      <c r="G29" s="176">
        <v>0</v>
      </c>
    </row>
    <row r="30" spans="1:7" x14ac:dyDescent="0.3">
      <c r="A30" s="70" t="s">
        <v>1042</v>
      </c>
      <c r="B30" s="70" t="s">
        <v>857</v>
      </c>
      <c r="C30" s="246" t="s">
        <v>875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3">
      <c r="A31" s="70" t="s">
        <v>239</v>
      </c>
      <c r="B31" s="70" t="s">
        <v>179</v>
      </c>
      <c r="C31" s="246" t="s">
        <v>1127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3">
      <c r="A32" s="70" t="s">
        <v>440</v>
      </c>
      <c r="B32" s="70" t="s">
        <v>188</v>
      </c>
      <c r="C32" s="246" t="s">
        <v>1189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3">
      <c r="A33" s="70" t="s">
        <v>543</v>
      </c>
      <c r="B33" s="70" t="s">
        <v>912</v>
      </c>
      <c r="C33" s="246" t="s">
        <v>1018</v>
      </c>
      <c r="D33" s="162">
        <v>0</v>
      </c>
      <c r="E33" s="176">
        <v>0</v>
      </c>
      <c r="F33" s="162">
        <v>0</v>
      </c>
      <c r="G33" s="176">
        <v>0</v>
      </c>
    </row>
    <row r="34" spans="1:7" x14ac:dyDescent="0.3">
      <c r="A34" s="70" t="s">
        <v>1045</v>
      </c>
      <c r="B34" s="70" t="s">
        <v>1145</v>
      </c>
      <c r="C34" s="246" t="s">
        <v>914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3">
      <c r="A35" s="70" t="s">
        <v>1099</v>
      </c>
      <c r="B35" s="70" t="s">
        <v>1065</v>
      </c>
      <c r="C35" s="246" t="s">
        <v>795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3">
      <c r="A36" s="70" t="s">
        <v>999</v>
      </c>
      <c r="B36" s="70" t="s">
        <v>1044</v>
      </c>
      <c r="C36" s="246" t="s">
        <v>839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3">
      <c r="A37" s="70" t="s">
        <v>40</v>
      </c>
      <c r="B37" s="70" t="s">
        <v>1263</v>
      </c>
      <c r="C37" s="246" t="s">
        <v>716</v>
      </c>
      <c r="D37" s="176">
        <v>16612.169999999998</v>
      </c>
      <c r="E37" s="176">
        <v>16612.169999999998</v>
      </c>
      <c r="F37" s="176">
        <v>16612.169999999998</v>
      </c>
      <c r="G37" s="176">
        <v>16612</v>
      </c>
    </row>
    <row r="38" spans="1:7" x14ac:dyDescent="0.3">
      <c r="A38" s="70" t="s">
        <v>780</v>
      </c>
      <c r="B38" s="70" t="s">
        <v>1329</v>
      </c>
      <c r="C38" s="246" t="s">
        <v>886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3">
      <c r="A39" s="70" t="s">
        <v>928</v>
      </c>
      <c r="B39" s="70" t="s">
        <v>658</v>
      </c>
      <c r="C39" s="246" t="s">
        <v>997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3">
      <c r="A40" s="70" t="s">
        <v>341</v>
      </c>
      <c r="B40" s="70" t="s">
        <v>182</v>
      </c>
      <c r="C40" s="246" t="s">
        <v>819</v>
      </c>
      <c r="D40" s="176">
        <v>0</v>
      </c>
      <c r="E40" s="176">
        <v>0</v>
      </c>
      <c r="F40" s="176">
        <v>0</v>
      </c>
      <c r="G40" s="176">
        <v>0</v>
      </c>
    </row>
    <row r="41" spans="1:7" x14ac:dyDescent="0.3">
      <c r="A41" s="70" t="s">
        <v>410</v>
      </c>
      <c r="B41" s="70" t="s">
        <v>34</v>
      </c>
      <c r="C41" s="246" t="s">
        <v>1087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3">
      <c r="A42" s="70" t="s">
        <v>376</v>
      </c>
      <c r="B42" s="70" t="s">
        <v>586</v>
      </c>
      <c r="C42" s="246" t="s">
        <v>1251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3">
      <c r="A43" s="70" t="s">
        <v>1042</v>
      </c>
      <c r="B43" s="70" t="s">
        <v>420</v>
      </c>
      <c r="C43" s="246" t="s">
        <v>675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3">
      <c r="A44" s="70" t="s">
        <v>843</v>
      </c>
      <c r="B44" s="70" t="s">
        <v>880</v>
      </c>
      <c r="C44" s="246" t="s">
        <v>521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3">
      <c r="A45" s="70" t="s">
        <v>116</v>
      </c>
      <c r="B45" s="70" t="s">
        <v>990</v>
      </c>
      <c r="C45" s="246" t="s">
        <v>1202</v>
      </c>
      <c r="D45" s="176">
        <v>3583877.54</v>
      </c>
      <c r="E45" s="176">
        <v>4791647.8</v>
      </c>
      <c r="F45" s="176">
        <v>3583877.54</v>
      </c>
      <c r="G45" s="176">
        <v>4791648</v>
      </c>
    </row>
    <row r="46" spans="1:7" x14ac:dyDescent="0.3">
      <c r="A46" s="70" t="s">
        <v>162</v>
      </c>
      <c r="B46" s="70" t="s">
        <v>1094</v>
      </c>
      <c r="C46" s="246" t="s">
        <v>128</v>
      </c>
      <c r="D46" s="176">
        <v>2027883.69</v>
      </c>
      <c r="E46" s="176">
        <v>3444439.92</v>
      </c>
      <c r="F46" s="176">
        <v>2027883.69</v>
      </c>
      <c r="G46" s="176">
        <v>3444440</v>
      </c>
    </row>
    <row r="47" spans="1:7" x14ac:dyDescent="0.3">
      <c r="A47" s="70" t="s">
        <v>835</v>
      </c>
      <c r="B47" s="70" t="s">
        <v>1302</v>
      </c>
      <c r="C47" s="246" t="s">
        <v>1057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3">
      <c r="A48" s="70" t="s">
        <v>456</v>
      </c>
      <c r="B48" s="70" t="s">
        <v>599</v>
      </c>
      <c r="C48" s="246" t="s">
        <v>6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3">
      <c r="A49" s="70" t="s">
        <v>538</v>
      </c>
      <c r="B49" s="70" t="s">
        <v>194</v>
      </c>
      <c r="C49" s="246" t="s">
        <v>972</v>
      </c>
      <c r="D49" s="176">
        <v>2027883.69</v>
      </c>
      <c r="E49" s="176">
        <v>3444439.92</v>
      </c>
      <c r="F49" s="176">
        <v>2027883.69</v>
      </c>
      <c r="G49" s="176">
        <v>3444440</v>
      </c>
    </row>
    <row r="50" spans="1:7" x14ac:dyDescent="0.3">
      <c r="A50" s="70" t="s">
        <v>1042</v>
      </c>
      <c r="B50" s="70" t="s">
        <v>857</v>
      </c>
      <c r="C50" s="246" t="s">
        <v>1061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3">
      <c r="A51" s="70" t="s">
        <v>239</v>
      </c>
      <c r="B51" s="70" t="s">
        <v>927</v>
      </c>
      <c r="C51" s="246" t="s">
        <v>118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3">
      <c r="A52" s="70" t="s">
        <v>440</v>
      </c>
      <c r="B52" s="70" t="s">
        <v>402</v>
      </c>
      <c r="C52" s="246" t="s">
        <v>1142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3">
      <c r="A53" s="70" t="s">
        <v>543</v>
      </c>
      <c r="B53" s="70" t="s">
        <v>1082</v>
      </c>
      <c r="C53" s="246" t="s">
        <v>1</v>
      </c>
      <c r="D53" s="176">
        <v>1319556.8500000001</v>
      </c>
      <c r="E53" s="176">
        <v>1267556.8500000001</v>
      </c>
      <c r="F53" s="176">
        <v>1319556.8500000001</v>
      </c>
      <c r="G53" s="176">
        <v>1267557</v>
      </c>
    </row>
    <row r="54" spans="1:7" x14ac:dyDescent="0.3">
      <c r="A54" s="70" t="s">
        <v>1045</v>
      </c>
      <c r="B54" s="70" t="s">
        <v>1157</v>
      </c>
      <c r="C54" s="246" t="s">
        <v>553</v>
      </c>
      <c r="D54" s="176">
        <v>50824.11</v>
      </c>
      <c r="E54" s="176">
        <v>46713.36</v>
      </c>
      <c r="F54" s="176">
        <v>50824.11</v>
      </c>
      <c r="G54" s="176">
        <v>46713</v>
      </c>
    </row>
    <row r="55" spans="1:7" x14ac:dyDescent="0.3">
      <c r="A55" s="70" t="s">
        <v>1099</v>
      </c>
      <c r="B55" s="70" t="s">
        <v>530</v>
      </c>
      <c r="C55" s="246" t="s">
        <v>529</v>
      </c>
      <c r="D55" s="176">
        <v>31618.82</v>
      </c>
      <c r="E55" s="176">
        <v>29202.87</v>
      </c>
      <c r="F55" s="176">
        <v>31618.82</v>
      </c>
      <c r="G55" s="176">
        <v>29203</v>
      </c>
    </row>
    <row r="56" spans="1:7" x14ac:dyDescent="0.3">
      <c r="A56" s="70" t="s">
        <v>999</v>
      </c>
      <c r="B56" s="70" t="s">
        <v>230</v>
      </c>
      <c r="C56" s="246" t="s">
        <v>1146</v>
      </c>
      <c r="D56" s="176">
        <v>153994.12</v>
      </c>
      <c r="E56" s="176">
        <v>3439.24</v>
      </c>
      <c r="F56" s="176">
        <v>153994.12</v>
      </c>
      <c r="G56" s="176">
        <v>3439</v>
      </c>
    </row>
    <row r="57" spans="1:7" x14ac:dyDescent="0.3">
      <c r="A57" s="70" t="s">
        <v>40</v>
      </c>
      <c r="B57" s="70" t="s">
        <v>715</v>
      </c>
      <c r="C57" s="246" t="s">
        <v>119</v>
      </c>
      <c r="D57" s="162">
        <v>0</v>
      </c>
      <c r="E57" s="176">
        <v>0</v>
      </c>
      <c r="F57" s="162">
        <v>0</v>
      </c>
      <c r="G57" s="176">
        <v>0</v>
      </c>
    </row>
    <row r="58" spans="1:7" x14ac:dyDescent="0.3">
      <c r="A58" s="70" t="s">
        <v>780</v>
      </c>
      <c r="B58" s="70" t="s">
        <v>878</v>
      </c>
      <c r="C58" s="246" t="s">
        <v>738</v>
      </c>
      <c r="D58" s="176">
        <v>-0.05</v>
      </c>
      <c r="E58" s="176">
        <v>295.56</v>
      </c>
      <c r="F58" s="176">
        <v>-0.05</v>
      </c>
      <c r="G58" s="176">
        <v>296</v>
      </c>
    </row>
    <row r="59" spans="1:7" x14ac:dyDescent="0.3">
      <c r="A59" s="70" t="s">
        <v>15</v>
      </c>
      <c r="B59" s="70" t="s">
        <v>664</v>
      </c>
      <c r="C59" s="246" t="s">
        <v>1307</v>
      </c>
      <c r="D59" s="176">
        <v>39254</v>
      </c>
      <c r="E59" s="176">
        <v>88676.09</v>
      </c>
      <c r="F59" s="176">
        <v>39254</v>
      </c>
      <c r="G59" s="176">
        <v>88676</v>
      </c>
    </row>
    <row r="60" spans="1:7" x14ac:dyDescent="0.3">
      <c r="A60" s="70" t="s">
        <v>1039</v>
      </c>
      <c r="B60" s="70" t="s">
        <v>1134</v>
      </c>
      <c r="C60" s="246" t="s">
        <v>305</v>
      </c>
      <c r="D60" s="176">
        <v>0</v>
      </c>
      <c r="E60" s="176">
        <v>49422.09</v>
      </c>
      <c r="F60" s="176">
        <v>0</v>
      </c>
      <c r="G60" s="176">
        <v>49422</v>
      </c>
    </row>
    <row r="61" spans="1:7" x14ac:dyDescent="0.3">
      <c r="A61" s="70" t="s">
        <v>1042</v>
      </c>
      <c r="B61" s="70" t="s">
        <v>71</v>
      </c>
      <c r="C61" s="246" t="s">
        <v>640</v>
      </c>
      <c r="D61" s="176">
        <v>39254</v>
      </c>
      <c r="E61" s="176">
        <v>39254</v>
      </c>
      <c r="F61" s="176">
        <v>39254</v>
      </c>
      <c r="G61" s="176">
        <v>39254</v>
      </c>
    </row>
    <row r="62" spans="1:7" x14ac:dyDescent="0.3">
      <c r="A62" s="70" t="s">
        <v>1280</v>
      </c>
      <c r="B62" s="70" t="s">
        <v>421</v>
      </c>
      <c r="C62" s="246" t="s">
        <v>848</v>
      </c>
      <c r="D62" s="162">
        <v>0</v>
      </c>
      <c r="E62" s="176">
        <v>0</v>
      </c>
      <c r="F62" s="162">
        <v>0</v>
      </c>
      <c r="G62" s="176">
        <v>0</v>
      </c>
    </row>
    <row r="63" spans="1:7" x14ac:dyDescent="0.3">
      <c r="A63" s="70" t="s">
        <v>1191</v>
      </c>
      <c r="B63" s="70" t="s">
        <v>635</v>
      </c>
      <c r="C63" s="246" t="s">
        <v>692</v>
      </c>
      <c r="D63" s="176">
        <v>0</v>
      </c>
      <c r="E63" s="176">
        <v>0</v>
      </c>
      <c r="F63" s="176">
        <v>0</v>
      </c>
      <c r="G63" s="176">
        <v>0</v>
      </c>
    </row>
    <row r="64" spans="1:7" x14ac:dyDescent="0.3">
      <c r="A64" s="70" t="s">
        <v>351</v>
      </c>
      <c r="B64" s="70" t="s">
        <v>511</v>
      </c>
      <c r="C64" s="246" t="s">
        <v>135</v>
      </c>
      <c r="D64" s="162">
        <v>0</v>
      </c>
      <c r="E64" s="176">
        <v>0</v>
      </c>
      <c r="F64" s="162">
        <v>0</v>
      </c>
      <c r="G64" s="176">
        <v>0</v>
      </c>
    </row>
    <row r="65" spans="1:7" x14ac:dyDescent="0.3">
      <c r="A65" s="70" t="s">
        <v>72</v>
      </c>
      <c r="B65" s="70" t="s">
        <v>247</v>
      </c>
      <c r="C65" s="246" t="s">
        <v>1184</v>
      </c>
      <c r="D65" s="162">
        <v>0</v>
      </c>
      <c r="E65" s="176">
        <v>0</v>
      </c>
      <c r="F65" s="162">
        <v>0</v>
      </c>
      <c r="G65" s="176">
        <v>0</v>
      </c>
    </row>
    <row r="66" spans="1:7" x14ac:dyDescent="0.3">
      <c r="A66" s="70" t="s">
        <v>1042</v>
      </c>
      <c r="B66" s="70" t="s">
        <v>333</v>
      </c>
      <c r="C66" s="246" t="s">
        <v>581</v>
      </c>
      <c r="D66" s="162">
        <v>0</v>
      </c>
      <c r="E66" s="176">
        <v>0</v>
      </c>
      <c r="F66" s="162">
        <v>0</v>
      </c>
      <c r="G66" s="176">
        <v>0</v>
      </c>
    </row>
    <row r="67" spans="1:7" x14ac:dyDescent="0.3">
      <c r="A67" s="70" t="s">
        <v>239</v>
      </c>
      <c r="B67" s="70" t="s">
        <v>57</v>
      </c>
      <c r="C67" s="246" t="s">
        <v>319</v>
      </c>
      <c r="D67" s="162">
        <v>0</v>
      </c>
      <c r="E67" s="176">
        <v>0</v>
      </c>
      <c r="F67" s="162">
        <v>0</v>
      </c>
      <c r="G67" s="176">
        <v>0</v>
      </c>
    </row>
    <row r="68" spans="1:7" x14ac:dyDescent="0.3">
      <c r="A68" s="70" t="s">
        <v>440</v>
      </c>
      <c r="B68" s="70" t="s">
        <v>1124</v>
      </c>
      <c r="C68" s="246" t="s">
        <v>141</v>
      </c>
      <c r="D68" s="162">
        <v>0</v>
      </c>
      <c r="E68" s="176">
        <v>0</v>
      </c>
      <c r="F68" s="162">
        <v>0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zoomScaleNormal="100" zoomScaleSheetLayoutView="100" workbookViewId="0"/>
  </sheetViews>
  <sheetFormatPr defaultColWidth="9.109375" defaultRowHeight="14.4" x14ac:dyDescent="0.3"/>
  <cols>
    <col min="1" max="1" width="8.33203125" style="2" customWidth="1"/>
    <col min="2" max="2" width="63.5546875" style="2" customWidth="1"/>
    <col min="3" max="3" width="4.44140625" style="58" customWidth="1"/>
    <col min="4" max="11" width="15.33203125" style="236" customWidth="1"/>
    <col min="12" max="16384" width="9.109375" style="112"/>
  </cols>
  <sheetData>
    <row r="1" spans="1:11" ht="20.399999999999999" x14ac:dyDescent="0.3">
      <c r="A1" s="11" t="s">
        <v>743</v>
      </c>
      <c r="B1" s="11" t="s">
        <v>555</v>
      </c>
      <c r="C1" s="51" t="s">
        <v>898</v>
      </c>
      <c r="D1" s="157" t="s">
        <v>1264</v>
      </c>
      <c r="E1" s="157" t="s">
        <v>1257</v>
      </c>
      <c r="F1" s="157" t="s">
        <v>323</v>
      </c>
      <c r="G1" s="157" t="s">
        <v>731</v>
      </c>
      <c r="H1" s="157" t="s">
        <v>343</v>
      </c>
      <c r="I1" s="157" t="s">
        <v>562</v>
      </c>
      <c r="J1" s="157" t="s">
        <v>744</v>
      </c>
      <c r="K1" s="157" t="s">
        <v>536</v>
      </c>
    </row>
    <row r="2" spans="1:11" x14ac:dyDescent="0.3">
      <c r="A2" s="70" t="s">
        <v>1110</v>
      </c>
      <c r="B2" s="70" t="s">
        <v>1250</v>
      </c>
      <c r="C2" s="246" t="s">
        <v>1076</v>
      </c>
      <c r="D2" s="176">
        <v>11594950.619999999</v>
      </c>
      <c r="E2" s="176">
        <v>3788281.2</v>
      </c>
      <c r="F2" s="176">
        <v>7806669.4199999999</v>
      </c>
      <c r="G2" s="176">
        <v>5549453.1100000003</v>
      </c>
      <c r="H2" s="176">
        <v>11594950.619999999</v>
      </c>
      <c r="I2" s="176">
        <v>3788281.2</v>
      </c>
      <c r="J2" s="176">
        <v>7806669.4199999999</v>
      </c>
      <c r="K2" s="176">
        <v>5549453</v>
      </c>
    </row>
    <row r="3" spans="1:11" x14ac:dyDescent="0.3">
      <c r="A3" s="70" t="s">
        <v>942</v>
      </c>
      <c r="B3" s="70" t="s">
        <v>1217</v>
      </c>
      <c r="C3" s="246" t="s">
        <v>466</v>
      </c>
      <c r="D3" s="144">
        <v>5480349.7199999997</v>
      </c>
      <c r="E3" s="144">
        <v>3632305.28</v>
      </c>
      <c r="F3" s="144">
        <v>1848044.44</v>
      </c>
      <c r="G3" s="144">
        <v>1380203.74</v>
      </c>
      <c r="H3" s="144">
        <v>5480349.7199999997</v>
      </c>
      <c r="I3" s="144">
        <v>3632305.28</v>
      </c>
      <c r="J3" s="144">
        <v>1848044.44</v>
      </c>
      <c r="K3" s="144">
        <v>1380204</v>
      </c>
    </row>
    <row r="4" spans="1:11" x14ac:dyDescent="0.3">
      <c r="A4" s="70" t="s">
        <v>1168</v>
      </c>
      <c r="B4" s="70" t="s">
        <v>693</v>
      </c>
      <c r="C4" s="246" t="s">
        <v>86</v>
      </c>
      <c r="D4" s="176">
        <v>45419.8</v>
      </c>
      <c r="E4" s="176">
        <v>23366.73</v>
      </c>
      <c r="F4" s="176">
        <v>22053.07</v>
      </c>
      <c r="G4" s="176">
        <v>18262.07</v>
      </c>
      <c r="H4" s="176">
        <v>45419.8</v>
      </c>
      <c r="I4" s="176">
        <v>23366.73</v>
      </c>
      <c r="J4" s="176">
        <v>22053.07</v>
      </c>
      <c r="K4" s="176">
        <v>18262</v>
      </c>
    </row>
    <row r="5" spans="1:11" x14ac:dyDescent="0.3">
      <c r="A5" s="70" t="s">
        <v>753</v>
      </c>
      <c r="B5" s="70" t="s">
        <v>837</v>
      </c>
      <c r="C5" s="246" t="s">
        <v>148</v>
      </c>
      <c r="D5" s="162">
        <v>0</v>
      </c>
      <c r="E5" s="162">
        <v>0</v>
      </c>
      <c r="F5" s="162">
        <v>0</v>
      </c>
      <c r="G5" s="176">
        <v>0</v>
      </c>
      <c r="H5" s="162">
        <v>0</v>
      </c>
      <c r="I5" s="162">
        <v>0</v>
      </c>
      <c r="J5" s="162">
        <v>0</v>
      </c>
      <c r="K5" s="176">
        <v>0</v>
      </c>
    </row>
    <row r="6" spans="1:11" x14ac:dyDescent="0.3">
      <c r="A6" s="70" t="s">
        <v>1042</v>
      </c>
      <c r="B6" s="70" t="s">
        <v>785</v>
      </c>
      <c r="C6" s="246" t="s">
        <v>546</v>
      </c>
      <c r="D6" s="176">
        <v>45419.8</v>
      </c>
      <c r="E6" s="176">
        <v>23366.73</v>
      </c>
      <c r="F6" s="176">
        <v>22053.07</v>
      </c>
      <c r="G6" s="176">
        <v>18262.07</v>
      </c>
      <c r="H6" s="176">
        <v>45419.8</v>
      </c>
      <c r="I6" s="176">
        <v>23366.73</v>
      </c>
      <c r="J6" s="176">
        <v>22053.07</v>
      </c>
      <c r="K6" s="176">
        <v>18262</v>
      </c>
    </row>
    <row r="7" spans="1:11" x14ac:dyDescent="0.3">
      <c r="A7" s="70" t="s">
        <v>239</v>
      </c>
      <c r="B7" s="70" t="s">
        <v>770</v>
      </c>
      <c r="C7" s="246" t="s">
        <v>758</v>
      </c>
      <c r="D7" s="162">
        <v>0</v>
      </c>
      <c r="E7" s="162">
        <v>0</v>
      </c>
      <c r="F7" s="162">
        <v>0</v>
      </c>
      <c r="G7" s="176">
        <v>0</v>
      </c>
      <c r="H7" s="162">
        <v>0</v>
      </c>
      <c r="I7" s="162">
        <v>0</v>
      </c>
      <c r="J7" s="162">
        <v>0</v>
      </c>
      <c r="K7" s="176">
        <v>0</v>
      </c>
    </row>
    <row r="8" spans="1:11" x14ac:dyDescent="0.3">
      <c r="A8" s="70" t="s">
        <v>440</v>
      </c>
      <c r="B8" s="70" t="s">
        <v>853</v>
      </c>
      <c r="C8" s="246" t="s">
        <v>847</v>
      </c>
      <c r="D8" s="162">
        <v>0</v>
      </c>
      <c r="E8" s="162">
        <v>0</v>
      </c>
      <c r="F8" s="162">
        <v>0</v>
      </c>
      <c r="G8" s="176">
        <v>0</v>
      </c>
      <c r="H8" s="162">
        <v>0</v>
      </c>
      <c r="I8" s="162">
        <v>0</v>
      </c>
      <c r="J8" s="162">
        <v>0</v>
      </c>
      <c r="K8" s="176">
        <v>0</v>
      </c>
    </row>
    <row r="9" spans="1:11" x14ac:dyDescent="0.3">
      <c r="A9" s="70" t="s">
        <v>543</v>
      </c>
      <c r="B9" s="70" t="s">
        <v>583</v>
      </c>
      <c r="C9" s="246" t="s">
        <v>1029</v>
      </c>
      <c r="D9" s="162">
        <v>0</v>
      </c>
      <c r="E9" s="162">
        <v>0</v>
      </c>
      <c r="F9" s="162">
        <v>0</v>
      </c>
      <c r="G9" s="176">
        <v>0</v>
      </c>
      <c r="H9" s="162">
        <v>0</v>
      </c>
      <c r="I9" s="162">
        <v>0</v>
      </c>
      <c r="J9" s="162">
        <v>0</v>
      </c>
      <c r="K9" s="176">
        <v>0</v>
      </c>
    </row>
    <row r="10" spans="1:11" x14ac:dyDescent="0.3">
      <c r="A10" s="70" t="s">
        <v>1045</v>
      </c>
      <c r="B10" s="70" t="s">
        <v>496</v>
      </c>
      <c r="C10" s="246" t="s">
        <v>644</v>
      </c>
      <c r="D10" s="176">
        <v>0</v>
      </c>
      <c r="E10" s="162">
        <v>0</v>
      </c>
      <c r="F10" s="176">
        <v>0</v>
      </c>
      <c r="G10" s="176">
        <v>0</v>
      </c>
      <c r="H10" s="176">
        <v>0</v>
      </c>
      <c r="I10" s="162">
        <v>0</v>
      </c>
      <c r="J10" s="176">
        <v>0</v>
      </c>
      <c r="K10" s="176">
        <v>0</v>
      </c>
    </row>
    <row r="11" spans="1:11" x14ac:dyDescent="0.3">
      <c r="A11" s="70" t="s">
        <v>1099</v>
      </c>
      <c r="B11" s="70" t="s">
        <v>601</v>
      </c>
      <c r="C11" s="246" t="s">
        <v>1056</v>
      </c>
      <c r="D11" s="162">
        <v>0</v>
      </c>
      <c r="E11" s="162">
        <v>0</v>
      </c>
      <c r="F11" s="162">
        <v>0</v>
      </c>
      <c r="G11" s="176">
        <v>0</v>
      </c>
      <c r="H11" s="162">
        <v>0</v>
      </c>
      <c r="I11" s="162">
        <v>0</v>
      </c>
      <c r="J11" s="162">
        <v>0</v>
      </c>
      <c r="K11" s="176">
        <v>0</v>
      </c>
    </row>
    <row r="12" spans="1:11" x14ac:dyDescent="0.3">
      <c r="A12" s="70" t="s">
        <v>93</v>
      </c>
      <c r="B12" s="70" t="s">
        <v>1031</v>
      </c>
      <c r="C12" s="246" t="s">
        <v>1038</v>
      </c>
      <c r="D12" s="176">
        <v>5434929.9199999999</v>
      </c>
      <c r="E12" s="176">
        <v>3608938.55</v>
      </c>
      <c r="F12" s="176">
        <v>1825991.37</v>
      </c>
      <c r="G12" s="176">
        <v>1361941.67</v>
      </c>
      <c r="H12" s="176">
        <v>5434929.9199999999</v>
      </c>
      <c r="I12" s="176">
        <v>3608938.55</v>
      </c>
      <c r="J12" s="176">
        <v>1825991.37</v>
      </c>
      <c r="K12" s="176">
        <v>1361942</v>
      </c>
    </row>
    <row r="13" spans="1:11" x14ac:dyDescent="0.3">
      <c r="A13" s="70" t="s">
        <v>561</v>
      </c>
      <c r="B13" s="70" t="s">
        <v>28</v>
      </c>
      <c r="C13" s="246" t="s">
        <v>406</v>
      </c>
      <c r="D13" s="176">
        <v>99914.42</v>
      </c>
      <c r="E13" s="162">
        <v>0</v>
      </c>
      <c r="F13" s="176">
        <v>99914.42</v>
      </c>
      <c r="G13" s="176">
        <v>99914.42</v>
      </c>
      <c r="H13" s="176">
        <v>99914.42</v>
      </c>
      <c r="I13" s="162">
        <v>0</v>
      </c>
      <c r="J13" s="176">
        <v>99914.42</v>
      </c>
      <c r="K13" s="176">
        <v>99914</v>
      </c>
    </row>
    <row r="14" spans="1:11" x14ac:dyDescent="0.3">
      <c r="A14" s="70" t="s">
        <v>1042</v>
      </c>
      <c r="B14" s="70" t="s">
        <v>572</v>
      </c>
      <c r="C14" s="246" t="s">
        <v>152</v>
      </c>
      <c r="D14" s="176">
        <v>1323885.77</v>
      </c>
      <c r="E14" s="176">
        <v>722771</v>
      </c>
      <c r="F14" s="176">
        <v>601114.77</v>
      </c>
      <c r="G14" s="176">
        <v>687933.77</v>
      </c>
      <c r="H14" s="176">
        <v>1323885.77</v>
      </c>
      <c r="I14" s="176">
        <v>722771</v>
      </c>
      <c r="J14" s="176">
        <v>601114.77</v>
      </c>
      <c r="K14" s="176">
        <v>687934</v>
      </c>
    </row>
    <row r="15" spans="1:11" x14ac:dyDescent="0.3">
      <c r="A15" s="70" t="s">
        <v>239</v>
      </c>
      <c r="B15" s="70" t="s">
        <v>811</v>
      </c>
      <c r="C15" s="246" t="s">
        <v>133</v>
      </c>
      <c r="D15" s="176">
        <v>3505354.76</v>
      </c>
      <c r="E15" s="176">
        <v>2886167.55</v>
      </c>
      <c r="F15" s="176">
        <v>619187.21</v>
      </c>
      <c r="G15" s="176">
        <v>399221.74</v>
      </c>
      <c r="H15" s="176">
        <v>3505354.76</v>
      </c>
      <c r="I15" s="176">
        <v>2886167.55</v>
      </c>
      <c r="J15" s="176">
        <v>619187.21</v>
      </c>
      <c r="K15" s="176">
        <v>399222</v>
      </c>
    </row>
    <row r="16" spans="1:11" x14ac:dyDescent="0.3">
      <c r="A16" s="70" t="s">
        <v>440</v>
      </c>
      <c r="B16" s="70" t="s">
        <v>1241</v>
      </c>
      <c r="C16" s="246" t="s">
        <v>608</v>
      </c>
      <c r="D16" s="162">
        <v>0</v>
      </c>
      <c r="E16" s="162">
        <v>0</v>
      </c>
      <c r="F16" s="162">
        <v>0</v>
      </c>
      <c r="G16" s="176">
        <v>0</v>
      </c>
      <c r="H16" s="162">
        <v>0</v>
      </c>
      <c r="I16" s="162">
        <v>0</v>
      </c>
      <c r="J16" s="162">
        <v>0</v>
      </c>
      <c r="K16" s="176">
        <v>0</v>
      </c>
    </row>
    <row r="17" spans="1:11" x14ac:dyDescent="0.3">
      <c r="A17" s="70" t="s">
        <v>543</v>
      </c>
      <c r="B17" s="70" t="s">
        <v>1086</v>
      </c>
      <c r="C17" s="246" t="s">
        <v>649</v>
      </c>
      <c r="D17" s="162">
        <v>0</v>
      </c>
      <c r="E17" s="162">
        <v>0</v>
      </c>
      <c r="F17" s="162">
        <v>0</v>
      </c>
      <c r="G17" s="176">
        <v>0</v>
      </c>
      <c r="H17" s="162">
        <v>0</v>
      </c>
      <c r="I17" s="162">
        <v>0</v>
      </c>
      <c r="J17" s="162">
        <v>0</v>
      </c>
      <c r="K17" s="176">
        <v>0</v>
      </c>
    </row>
    <row r="18" spans="1:11" x14ac:dyDescent="0.3">
      <c r="A18" s="70" t="s">
        <v>1045</v>
      </c>
      <c r="B18" s="70" t="s">
        <v>293</v>
      </c>
      <c r="C18" s="246" t="s">
        <v>504</v>
      </c>
      <c r="D18" s="162">
        <v>0</v>
      </c>
      <c r="E18" s="162">
        <v>0</v>
      </c>
      <c r="F18" s="162">
        <v>0</v>
      </c>
      <c r="G18" s="176">
        <v>0</v>
      </c>
      <c r="H18" s="162">
        <v>0</v>
      </c>
      <c r="I18" s="162">
        <v>0</v>
      </c>
      <c r="J18" s="162">
        <v>0</v>
      </c>
      <c r="K18" s="176">
        <v>0</v>
      </c>
    </row>
    <row r="19" spans="1:11" x14ac:dyDescent="0.3">
      <c r="A19" s="70" t="s">
        <v>1099</v>
      </c>
      <c r="B19" s="70" t="s">
        <v>1328</v>
      </c>
      <c r="C19" s="246" t="s">
        <v>22</v>
      </c>
      <c r="D19" s="176">
        <v>505774.97</v>
      </c>
      <c r="E19" s="162">
        <v>0</v>
      </c>
      <c r="F19" s="176">
        <v>505774.97</v>
      </c>
      <c r="G19" s="176">
        <v>174871.74</v>
      </c>
      <c r="H19" s="176">
        <v>505774.97</v>
      </c>
      <c r="I19" s="162">
        <v>0</v>
      </c>
      <c r="J19" s="176">
        <v>505774.97</v>
      </c>
      <c r="K19" s="176">
        <v>174872</v>
      </c>
    </row>
    <row r="20" spans="1:11" x14ac:dyDescent="0.3">
      <c r="A20" s="70" t="s">
        <v>999</v>
      </c>
      <c r="B20" s="70" t="s">
        <v>260</v>
      </c>
      <c r="C20" s="246" t="s">
        <v>1208</v>
      </c>
      <c r="D20" s="162">
        <v>0</v>
      </c>
      <c r="E20" s="162">
        <v>0</v>
      </c>
      <c r="F20" s="162">
        <v>0</v>
      </c>
      <c r="G20" s="176">
        <v>0</v>
      </c>
      <c r="H20" s="162">
        <v>0</v>
      </c>
      <c r="I20" s="162">
        <v>0</v>
      </c>
      <c r="J20" s="162">
        <v>0</v>
      </c>
      <c r="K20" s="176">
        <v>0</v>
      </c>
    </row>
    <row r="21" spans="1:11" x14ac:dyDescent="0.3">
      <c r="A21" s="70" t="s">
        <v>40</v>
      </c>
      <c r="B21" s="70" t="s">
        <v>1164</v>
      </c>
      <c r="C21" s="246" t="s">
        <v>321</v>
      </c>
      <c r="D21" s="162">
        <v>0</v>
      </c>
      <c r="E21" s="162">
        <v>0</v>
      </c>
      <c r="F21" s="162">
        <v>0</v>
      </c>
      <c r="G21" s="176">
        <v>0</v>
      </c>
      <c r="H21" s="162">
        <v>0</v>
      </c>
      <c r="I21" s="162">
        <v>0</v>
      </c>
      <c r="J21" s="162">
        <v>0</v>
      </c>
      <c r="K21" s="176">
        <v>0</v>
      </c>
    </row>
    <row r="22" spans="1:11" x14ac:dyDescent="0.3">
      <c r="A22" s="70" t="s">
        <v>1253</v>
      </c>
      <c r="B22" s="70" t="s">
        <v>330</v>
      </c>
      <c r="C22" s="246" t="s">
        <v>11</v>
      </c>
      <c r="D22" s="162">
        <v>0</v>
      </c>
      <c r="E22" s="162">
        <v>0</v>
      </c>
      <c r="F22" s="162">
        <v>0</v>
      </c>
      <c r="G22" s="176">
        <v>0</v>
      </c>
      <c r="H22" s="162">
        <v>0</v>
      </c>
      <c r="I22" s="162">
        <v>0</v>
      </c>
      <c r="J22" s="162">
        <v>0</v>
      </c>
      <c r="K22" s="176">
        <v>0</v>
      </c>
    </row>
    <row r="23" spans="1:11" x14ac:dyDescent="0.3">
      <c r="A23" s="70" t="s">
        <v>627</v>
      </c>
      <c r="B23" s="70" t="s">
        <v>1051</v>
      </c>
      <c r="C23" s="246" t="s">
        <v>978</v>
      </c>
      <c r="D23" s="162">
        <v>0</v>
      </c>
      <c r="E23" s="162">
        <v>0</v>
      </c>
      <c r="F23" s="162">
        <v>0</v>
      </c>
      <c r="G23" s="176">
        <v>0</v>
      </c>
      <c r="H23" s="162">
        <v>0</v>
      </c>
      <c r="I23" s="162">
        <v>0</v>
      </c>
      <c r="J23" s="162">
        <v>0</v>
      </c>
      <c r="K23" s="176">
        <v>0</v>
      </c>
    </row>
    <row r="24" spans="1:11" x14ac:dyDescent="0.3">
      <c r="A24" s="70" t="s">
        <v>1042</v>
      </c>
      <c r="B24" s="70" t="s">
        <v>357</v>
      </c>
      <c r="C24" s="246" t="s">
        <v>1177</v>
      </c>
      <c r="D24" s="162">
        <v>0</v>
      </c>
      <c r="E24" s="162">
        <v>0</v>
      </c>
      <c r="F24" s="162">
        <v>0</v>
      </c>
      <c r="G24" s="176">
        <v>0</v>
      </c>
      <c r="H24" s="162">
        <v>0</v>
      </c>
      <c r="I24" s="162">
        <v>0</v>
      </c>
      <c r="J24" s="162">
        <v>0</v>
      </c>
      <c r="K24" s="176">
        <v>0</v>
      </c>
    </row>
    <row r="25" spans="1:11" x14ac:dyDescent="0.3">
      <c r="A25" s="70" t="s">
        <v>239</v>
      </c>
      <c r="B25" s="70" t="s">
        <v>49</v>
      </c>
      <c r="C25" s="246" t="s">
        <v>634</v>
      </c>
      <c r="D25" s="162">
        <v>0</v>
      </c>
      <c r="E25" s="162">
        <v>0</v>
      </c>
      <c r="F25" s="162">
        <v>0</v>
      </c>
      <c r="G25" s="176">
        <v>0</v>
      </c>
      <c r="H25" s="162">
        <v>0</v>
      </c>
      <c r="I25" s="162">
        <v>0</v>
      </c>
      <c r="J25" s="162">
        <v>0</v>
      </c>
      <c r="K25" s="176">
        <v>0</v>
      </c>
    </row>
    <row r="26" spans="1:11" x14ac:dyDescent="0.3">
      <c r="A26" s="70" t="s">
        <v>440</v>
      </c>
      <c r="B26" s="70" t="s">
        <v>134</v>
      </c>
      <c r="C26" s="246" t="s">
        <v>653</v>
      </c>
      <c r="D26" s="162">
        <v>0</v>
      </c>
      <c r="E26" s="162">
        <v>0</v>
      </c>
      <c r="F26" s="162">
        <v>0</v>
      </c>
      <c r="G26" s="176">
        <v>0</v>
      </c>
      <c r="H26" s="162">
        <v>0</v>
      </c>
      <c r="I26" s="162">
        <v>0</v>
      </c>
      <c r="J26" s="162">
        <v>0</v>
      </c>
      <c r="K26" s="176">
        <v>0</v>
      </c>
    </row>
    <row r="27" spans="1:11" x14ac:dyDescent="0.3">
      <c r="A27" s="70" t="s">
        <v>543</v>
      </c>
      <c r="B27" s="70" t="s">
        <v>895</v>
      </c>
      <c r="C27" s="246" t="s">
        <v>64</v>
      </c>
      <c r="D27" s="162">
        <v>0</v>
      </c>
      <c r="E27" s="162">
        <v>0</v>
      </c>
      <c r="F27" s="162">
        <v>0</v>
      </c>
      <c r="G27" s="176">
        <v>0</v>
      </c>
      <c r="H27" s="162">
        <v>0</v>
      </c>
      <c r="I27" s="162">
        <v>0</v>
      </c>
      <c r="J27" s="162">
        <v>0</v>
      </c>
      <c r="K27" s="176">
        <v>0</v>
      </c>
    </row>
    <row r="28" spans="1:11" x14ac:dyDescent="0.3">
      <c r="A28" s="70" t="s">
        <v>1045</v>
      </c>
      <c r="B28" s="70" t="s">
        <v>915</v>
      </c>
      <c r="C28" s="246" t="s">
        <v>873</v>
      </c>
      <c r="D28" s="162">
        <v>0</v>
      </c>
      <c r="E28" s="162">
        <v>0</v>
      </c>
      <c r="F28" s="162">
        <v>0</v>
      </c>
      <c r="G28" s="176">
        <v>0</v>
      </c>
      <c r="H28" s="162">
        <v>0</v>
      </c>
      <c r="I28" s="162">
        <v>0</v>
      </c>
      <c r="J28" s="162">
        <v>0</v>
      </c>
      <c r="K28" s="176">
        <v>0</v>
      </c>
    </row>
    <row r="29" spans="1:11" x14ac:dyDescent="0.3">
      <c r="A29" s="70" t="s">
        <v>1099</v>
      </c>
      <c r="B29" s="70" t="s">
        <v>769</v>
      </c>
      <c r="C29" s="246" t="s">
        <v>1268</v>
      </c>
      <c r="D29" s="162">
        <v>0</v>
      </c>
      <c r="E29" s="162">
        <v>0</v>
      </c>
      <c r="F29" s="162">
        <v>0</v>
      </c>
      <c r="G29" s="176">
        <v>0</v>
      </c>
      <c r="H29" s="162">
        <v>0</v>
      </c>
      <c r="I29" s="162">
        <v>0</v>
      </c>
      <c r="J29" s="162">
        <v>0</v>
      </c>
      <c r="K29" s="176">
        <v>0</v>
      </c>
    </row>
    <row r="30" spans="1:11" x14ac:dyDescent="0.3">
      <c r="A30" s="70" t="s">
        <v>999</v>
      </c>
      <c r="B30" s="70" t="s">
        <v>1306</v>
      </c>
      <c r="C30" s="246" t="s">
        <v>1318</v>
      </c>
      <c r="D30" s="162">
        <v>0</v>
      </c>
      <c r="E30" s="162">
        <v>0</v>
      </c>
      <c r="F30" s="162">
        <v>0</v>
      </c>
      <c r="G30" s="176">
        <v>0</v>
      </c>
      <c r="H30" s="162">
        <v>0</v>
      </c>
      <c r="I30" s="162">
        <v>0</v>
      </c>
      <c r="J30" s="162">
        <v>0</v>
      </c>
      <c r="K30" s="176">
        <v>0</v>
      </c>
    </row>
    <row r="31" spans="1:11" x14ac:dyDescent="0.3">
      <c r="A31" s="70" t="s">
        <v>40</v>
      </c>
      <c r="B31" s="70" t="s">
        <v>885</v>
      </c>
      <c r="C31" s="246" t="s">
        <v>325</v>
      </c>
      <c r="D31" s="162">
        <v>0</v>
      </c>
      <c r="E31" s="162">
        <v>0</v>
      </c>
      <c r="F31" s="162">
        <v>0</v>
      </c>
      <c r="G31" s="176">
        <v>0</v>
      </c>
      <c r="H31" s="162">
        <v>0</v>
      </c>
      <c r="I31" s="162">
        <v>0</v>
      </c>
      <c r="J31" s="162">
        <v>0</v>
      </c>
      <c r="K31" s="176">
        <v>0</v>
      </c>
    </row>
    <row r="32" spans="1:11" x14ac:dyDescent="0.3">
      <c r="A32" s="70" t="s">
        <v>780</v>
      </c>
      <c r="B32" s="70" t="s">
        <v>126</v>
      </c>
      <c r="C32" s="246" t="s">
        <v>1175</v>
      </c>
      <c r="D32" s="162">
        <v>0</v>
      </c>
      <c r="E32" s="162">
        <v>0</v>
      </c>
      <c r="F32" s="162">
        <v>0</v>
      </c>
      <c r="G32" s="176">
        <v>0</v>
      </c>
      <c r="H32" s="162">
        <v>0</v>
      </c>
      <c r="I32" s="162">
        <v>0</v>
      </c>
      <c r="J32" s="162">
        <v>0</v>
      </c>
      <c r="K32" s="176">
        <v>0</v>
      </c>
    </row>
    <row r="33" spans="1:11" x14ac:dyDescent="0.3">
      <c r="A33" s="70" t="s">
        <v>928</v>
      </c>
      <c r="B33" s="70" t="s">
        <v>1266</v>
      </c>
      <c r="C33" s="246" t="s">
        <v>389</v>
      </c>
      <c r="D33" s="162">
        <v>0</v>
      </c>
      <c r="E33" s="162">
        <v>0</v>
      </c>
      <c r="F33" s="162">
        <v>0</v>
      </c>
      <c r="G33" s="176">
        <v>0</v>
      </c>
      <c r="H33" s="162">
        <v>0</v>
      </c>
      <c r="I33" s="162">
        <v>0</v>
      </c>
      <c r="J33" s="162">
        <v>0</v>
      </c>
      <c r="K33" s="176">
        <v>0</v>
      </c>
    </row>
    <row r="34" spans="1:11" x14ac:dyDescent="0.3">
      <c r="A34" s="70" t="s">
        <v>372</v>
      </c>
      <c r="B34" s="70" t="s">
        <v>361</v>
      </c>
      <c r="C34" s="246" t="s">
        <v>737</v>
      </c>
      <c r="D34" s="176">
        <v>4597034.7699999996</v>
      </c>
      <c r="E34" s="176">
        <v>155975.92000000001</v>
      </c>
      <c r="F34" s="176">
        <v>4441058.8499999996</v>
      </c>
      <c r="G34" s="176">
        <v>3814759.62</v>
      </c>
      <c r="H34" s="176">
        <v>4597034.7699999996</v>
      </c>
      <c r="I34" s="176">
        <v>155975.92000000001</v>
      </c>
      <c r="J34" s="176">
        <v>4441058.8499999996</v>
      </c>
      <c r="K34" s="176">
        <v>3814759</v>
      </c>
    </row>
    <row r="35" spans="1:11" x14ac:dyDescent="0.3">
      <c r="A35" s="70" t="s">
        <v>1196</v>
      </c>
      <c r="B35" s="70" t="s">
        <v>618</v>
      </c>
      <c r="C35" s="246" t="s">
        <v>591</v>
      </c>
      <c r="D35" s="176">
        <v>195705.62</v>
      </c>
      <c r="E35" s="162">
        <v>0</v>
      </c>
      <c r="F35" s="176">
        <v>195705.62</v>
      </c>
      <c r="G35" s="176">
        <v>294307.12</v>
      </c>
      <c r="H35" s="176">
        <v>195705.62</v>
      </c>
      <c r="I35" s="162">
        <v>0</v>
      </c>
      <c r="J35" s="176">
        <v>195705.62</v>
      </c>
      <c r="K35" s="176">
        <v>294307</v>
      </c>
    </row>
    <row r="36" spans="1:11" x14ac:dyDescent="0.3">
      <c r="A36" s="70" t="s">
        <v>289</v>
      </c>
      <c r="B36" s="70" t="s">
        <v>982</v>
      </c>
      <c r="C36" s="246" t="s">
        <v>551</v>
      </c>
      <c r="D36" s="176">
        <v>195705.62</v>
      </c>
      <c r="E36" s="162">
        <v>0</v>
      </c>
      <c r="F36" s="176">
        <v>195705.62</v>
      </c>
      <c r="G36" s="176">
        <v>294307.12</v>
      </c>
      <c r="H36" s="176">
        <v>195705.62</v>
      </c>
      <c r="I36" s="162">
        <v>0</v>
      </c>
      <c r="J36" s="176">
        <v>195705.62</v>
      </c>
      <c r="K36" s="176">
        <v>294307</v>
      </c>
    </row>
    <row r="37" spans="1:11" x14ac:dyDescent="0.3">
      <c r="A37" s="70" t="s">
        <v>1042</v>
      </c>
      <c r="B37" s="70" t="s">
        <v>813</v>
      </c>
      <c r="C37" s="246" t="s">
        <v>563</v>
      </c>
      <c r="D37" s="162">
        <v>0</v>
      </c>
      <c r="E37" s="162">
        <v>0</v>
      </c>
      <c r="F37" s="162">
        <v>0</v>
      </c>
      <c r="G37" s="176">
        <v>0</v>
      </c>
      <c r="H37" s="162">
        <v>0</v>
      </c>
      <c r="I37" s="162">
        <v>0</v>
      </c>
      <c r="J37" s="162">
        <v>0</v>
      </c>
      <c r="K37" s="176">
        <v>0</v>
      </c>
    </row>
    <row r="38" spans="1:11" x14ac:dyDescent="0.3">
      <c r="A38" s="70" t="s">
        <v>239</v>
      </c>
      <c r="B38" s="70" t="s">
        <v>689</v>
      </c>
      <c r="C38" s="246" t="s">
        <v>699</v>
      </c>
      <c r="D38" s="162">
        <v>0</v>
      </c>
      <c r="E38" s="162">
        <v>0</v>
      </c>
      <c r="F38" s="162">
        <v>0</v>
      </c>
      <c r="G38" s="176">
        <v>0</v>
      </c>
      <c r="H38" s="162">
        <v>0</v>
      </c>
      <c r="I38" s="162">
        <v>0</v>
      </c>
      <c r="J38" s="162">
        <v>0</v>
      </c>
      <c r="K38" s="176">
        <v>0</v>
      </c>
    </row>
    <row r="39" spans="1:11" x14ac:dyDescent="0.3">
      <c r="A39" s="70" t="s">
        <v>440</v>
      </c>
      <c r="B39" s="70" t="s">
        <v>787</v>
      </c>
      <c r="C39" s="246" t="s">
        <v>201</v>
      </c>
      <c r="D39" s="162">
        <v>0</v>
      </c>
      <c r="E39" s="162">
        <v>0</v>
      </c>
      <c r="F39" s="162">
        <v>0</v>
      </c>
      <c r="G39" s="176">
        <v>0</v>
      </c>
      <c r="H39" s="162">
        <v>0</v>
      </c>
      <c r="I39" s="162">
        <v>0</v>
      </c>
      <c r="J39" s="162">
        <v>0</v>
      </c>
      <c r="K39" s="176">
        <v>0</v>
      </c>
    </row>
    <row r="40" spans="1:11" x14ac:dyDescent="0.3">
      <c r="A40" s="70" t="s">
        <v>543</v>
      </c>
      <c r="B40" s="70" t="s">
        <v>483</v>
      </c>
      <c r="C40" s="246" t="s">
        <v>17</v>
      </c>
      <c r="D40" s="162">
        <v>0</v>
      </c>
      <c r="E40" s="162">
        <v>0</v>
      </c>
      <c r="F40" s="162">
        <v>0</v>
      </c>
      <c r="G40" s="176">
        <v>0</v>
      </c>
      <c r="H40" s="162">
        <v>0</v>
      </c>
      <c r="I40" s="162">
        <v>0</v>
      </c>
      <c r="J40" s="162">
        <v>0</v>
      </c>
      <c r="K40" s="176">
        <v>0</v>
      </c>
    </row>
    <row r="41" spans="1:11" x14ac:dyDescent="0.3">
      <c r="A41" s="70" t="s">
        <v>1045</v>
      </c>
      <c r="B41" s="70" t="s">
        <v>694</v>
      </c>
      <c r="C41" s="246" t="s">
        <v>911</v>
      </c>
      <c r="D41" s="162">
        <v>0</v>
      </c>
      <c r="E41" s="162">
        <v>0</v>
      </c>
      <c r="F41" s="162">
        <v>0</v>
      </c>
      <c r="G41" s="176">
        <v>0</v>
      </c>
      <c r="H41" s="162">
        <v>0</v>
      </c>
      <c r="I41" s="162">
        <v>0</v>
      </c>
      <c r="J41" s="162">
        <v>0</v>
      </c>
      <c r="K41" s="176">
        <v>0</v>
      </c>
    </row>
    <row r="42" spans="1:11" x14ac:dyDescent="0.3">
      <c r="A42" s="70" t="s">
        <v>410</v>
      </c>
      <c r="B42" s="70" t="s">
        <v>681</v>
      </c>
      <c r="C42" s="246" t="s">
        <v>242</v>
      </c>
      <c r="D42" s="176">
        <v>7459</v>
      </c>
      <c r="E42" s="162">
        <v>0</v>
      </c>
      <c r="F42" s="176">
        <v>7459</v>
      </c>
      <c r="G42" s="176">
        <v>4018</v>
      </c>
      <c r="H42" s="176">
        <v>7459</v>
      </c>
      <c r="I42" s="162">
        <v>0</v>
      </c>
      <c r="J42" s="176">
        <v>7459</v>
      </c>
      <c r="K42" s="176">
        <v>4018</v>
      </c>
    </row>
    <row r="43" spans="1:11" x14ac:dyDescent="0.3">
      <c r="A43" s="70" t="s">
        <v>376</v>
      </c>
      <c r="B43" s="70" t="s">
        <v>359</v>
      </c>
      <c r="C43" s="246" t="s">
        <v>657</v>
      </c>
      <c r="D43" s="162">
        <v>0</v>
      </c>
      <c r="E43" s="162">
        <v>0</v>
      </c>
      <c r="F43" s="162">
        <v>0</v>
      </c>
      <c r="G43" s="176">
        <v>0</v>
      </c>
      <c r="H43" s="162">
        <v>0</v>
      </c>
      <c r="I43" s="162">
        <v>0</v>
      </c>
      <c r="J43" s="162">
        <v>0</v>
      </c>
      <c r="K43" s="176">
        <v>0</v>
      </c>
    </row>
    <row r="44" spans="1:11" x14ac:dyDescent="0.3">
      <c r="A44" s="70" t="s">
        <v>835</v>
      </c>
      <c r="B44" s="70" t="s">
        <v>471</v>
      </c>
      <c r="C44" s="246" t="s">
        <v>1301</v>
      </c>
      <c r="D44" s="162">
        <v>0</v>
      </c>
      <c r="E44" s="162">
        <v>0</v>
      </c>
      <c r="F44" s="162">
        <v>0</v>
      </c>
      <c r="G44" s="176">
        <v>0</v>
      </c>
      <c r="H44" s="162">
        <v>0</v>
      </c>
      <c r="I44" s="162">
        <v>0</v>
      </c>
      <c r="J44" s="162">
        <v>0</v>
      </c>
      <c r="K44" s="176">
        <v>0</v>
      </c>
    </row>
    <row r="45" spans="1:11" x14ac:dyDescent="0.3">
      <c r="A45" s="70" t="s">
        <v>456</v>
      </c>
      <c r="B45" s="70" t="s">
        <v>1174</v>
      </c>
      <c r="C45" s="246" t="s">
        <v>576</v>
      </c>
      <c r="D45" s="162">
        <v>0</v>
      </c>
      <c r="E45" s="162">
        <v>0</v>
      </c>
      <c r="F45" s="162">
        <v>0</v>
      </c>
      <c r="G45" s="176">
        <v>0</v>
      </c>
      <c r="H45" s="162">
        <v>0</v>
      </c>
      <c r="I45" s="162">
        <v>0</v>
      </c>
      <c r="J45" s="162">
        <v>0</v>
      </c>
      <c r="K45" s="176">
        <v>0</v>
      </c>
    </row>
    <row r="46" spans="1:11" x14ac:dyDescent="0.3">
      <c r="A46" s="70" t="s">
        <v>538</v>
      </c>
      <c r="B46" s="70" t="s">
        <v>187</v>
      </c>
      <c r="C46" s="246" t="s">
        <v>932</v>
      </c>
      <c r="D46" s="162">
        <v>0</v>
      </c>
      <c r="E46" s="162">
        <v>0</v>
      </c>
      <c r="F46" s="162">
        <v>0</v>
      </c>
      <c r="G46" s="176">
        <v>0</v>
      </c>
      <c r="H46" s="162">
        <v>0</v>
      </c>
      <c r="I46" s="162">
        <v>0</v>
      </c>
      <c r="J46" s="162">
        <v>0</v>
      </c>
      <c r="K46" s="176">
        <v>0</v>
      </c>
    </row>
    <row r="47" spans="1:11" x14ac:dyDescent="0.3">
      <c r="A47" s="70" t="s">
        <v>1042</v>
      </c>
      <c r="B47" s="70" t="s">
        <v>857</v>
      </c>
      <c r="C47" s="246" t="s">
        <v>1111</v>
      </c>
      <c r="D47" s="162">
        <v>0</v>
      </c>
      <c r="E47" s="162">
        <v>0</v>
      </c>
      <c r="F47" s="162">
        <v>0</v>
      </c>
      <c r="G47" s="176">
        <v>0</v>
      </c>
      <c r="H47" s="162">
        <v>0</v>
      </c>
      <c r="I47" s="162">
        <v>0</v>
      </c>
      <c r="J47" s="162">
        <v>0</v>
      </c>
      <c r="K47" s="176">
        <v>0</v>
      </c>
    </row>
    <row r="48" spans="1:11" x14ac:dyDescent="0.3">
      <c r="A48" s="70" t="s">
        <v>239</v>
      </c>
      <c r="B48" s="70" t="s">
        <v>1152</v>
      </c>
      <c r="C48" s="246" t="s">
        <v>1126</v>
      </c>
      <c r="D48" s="162">
        <v>0</v>
      </c>
      <c r="E48" s="162">
        <v>0</v>
      </c>
      <c r="F48" s="162">
        <v>0</v>
      </c>
      <c r="G48" s="176">
        <v>0</v>
      </c>
      <c r="H48" s="162">
        <v>0</v>
      </c>
      <c r="I48" s="162">
        <v>0</v>
      </c>
      <c r="J48" s="162">
        <v>0</v>
      </c>
      <c r="K48" s="176">
        <v>0</v>
      </c>
    </row>
    <row r="49" spans="1:11" x14ac:dyDescent="0.3">
      <c r="A49" s="70" t="s">
        <v>440</v>
      </c>
      <c r="B49" s="70" t="s">
        <v>647</v>
      </c>
      <c r="C49" s="246" t="s">
        <v>976</v>
      </c>
      <c r="D49" s="162">
        <v>0</v>
      </c>
      <c r="E49" s="162">
        <v>0</v>
      </c>
      <c r="F49" s="162">
        <v>0</v>
      </c>
      <c r="G49" s="176">
        <v>0</v>
      </c>
      <c r="H49" s="162">
        <v>0</v>
      </c>
      <c r="I49" s="162">
        <v>0</v>
      </c>
      <c r="J49" s="162">
        <v>0</v>
      </c>
      <c r="K49" s="176">
        <v>0</v>
      </c>
    </row>
    <row r="50" spans="1:11" x14ac:dyDescent="0.3">
      <c r="A50" s="70" t="s">
        <v>543</v>
      </c>
      <c r="B50" s="70" t="s">
        <v>165</v>
      </c>
      <c r="C50" s="246" t="s">
        <v>360</v>
      </c>
      <c r="D50" s="162">
        <v>0</v>
      </c>
      <c r="E50" s="162">
        <v>0</v>
      </c>
      <c r="F50" s="162">
        <v>0</v>
      </c>
      <c r="G50" s="176">
        <v>0</v>
      </c>
      <c r="H50" s="162">
        <v>0</v>
      </c>
      <c r="I50" s="162">
        <v>0</v>
      </c>
      <c r="J50" s="162">
        <v>0</v>
      </c>
      <c r="K50" s="176">
        <v>0</v>
      </c>
    </row>
    <row r="51" spans="1:11" x14ac:dyDescent="0.3">
      <c r="A51" s="70" t="s">
        <v>1045</v>
      </c>
      <c r="B51" s="70" t="s">
        <v>400</v>
      </c>
      <c r="C51" s="246" t="s">
        <v>903</v>
      </c>
      <c r="D51" s="162">
        <v>0</v>
      </c>
      <c r="E51" s="162">
        <v>0</v>
      </c>
      <c r="F51" s="162">
        <v>0</v>
      </c>
      <c r="G51" s="176">
        <v>0</v>
      </c>
      <c r="H51" s="162">
        <v>0</v>
      </c>
      <c r="I51" s="162">
        <v>0</v>
      </c>
      <c r="J51" s="162">
        <v>0</v>
      </c>
      <c r="K51" s="176">
        <v>0</v>
      </c>
    </row>
    <row r="52" spans="1:11" x14ac:dyDescent="0.3">
      <c r="A52" s="70" t="s">
        <v>1099</v>
      </c>
      <c r="B52" s="70" t="s">
        <v>1153</v>
      </c>
      <c r="C52" s="246" t="s">
        <v>311</v>
      </c>
      <c r="D52" s="162">
        <v>0</v>
      </c>
      <c r="E52" s="162">
        <v>0</v>
      </c>
      <c r="F52" s="162">
        <v>0</v>
      </c>
      <c r="G52" s="176">
        <v>0</v>
      </c>
      <c r="H52" s="162">
        <v>0</v>
      </c>
      <c r="I52" s="162">
        <v>0</v>
      </c>
      <c r="J52" s="162">
        <v>0</v>
      </c>
      <c r="K52" s="176">
        <v>0</v>
      </c>
    </row>
    <row r="53" spans="1:11" x14ac:dyDescent="0.3">
      <c r="A53" s="70" t="s">
        <v>999</v>
      </c>
      <c r="B53" s="70" t="s">
        <v>31</v>
      </c>
      <c r="C53" s="246" t="s">
        <v>708</v>
      </c>
      <c r="D53" s="176">
        <v>7459</v>
      </c>
      <c r="E53" s="162">
        <v>0</v>
      </c>
      <c r="F53" s="176">
        <v>7459</v>
      </c>
      <c r="G53" s="176">
        <v>4018</v>
      </c>
      <c r="H53" s="176">
        <v>7459</v>
      </c>
      <c r="I53" s="162">
        <v>0</v>
      </c>
      <c r="J53" s="176">
        <v>7459</v>
      </c>
      <c r="K53" s="176">
        <v>4018</v>
      </c>
    </row>
    <row r="54" spans="1:11" x14ac:dyDescent="0.3">
      <c r="A54" s="70" t="s">
        <v>843</v>
      </c>
      <c r="B54" s="70" t="s">
        <v>274</v>
      </c>
      <c r="C54" s="246" t="s">
        <v>645</v>
      </c>
      <c r="D54" s="176">
        <v>2531049.73</v>
      </c>
      <c r="E54" s="176">
        <v>155975.92000000001</v>
      </c>
      <c r="F54" s="176">
        <v>2375073.81</v>
      </c>
      <c r="G54" s="176">
        <v>2078001.94</v>
      </c>
      <c r="H54" s="176">
        <v>2531049.73</v>
      </c>
      <c r="I54" s="176">
        <v>155975.92000000001</v>
      </c>
      <c r="J54" s="176">
        <v>2375073.81</v>
      </c>
      <c r="K54" s="176">
        <v>2078002</v>
      </c>
    </row>
    <row r="55" spans="1:11" x14ac:dyDescent="0.3">
      <c r="A55" s="70" t="s">
        <v>1315</v>
      </c>
      <c r="B55" s="70" t="s">
        <v>728</v>
      </c>
      <c r="C55" s="246" t="s">
        <v>391</v>
      </c>
      <c r="D55" s="176">
        <v>2421425.35</v>
      </c>
      <c r="E55" s="176">
        <v>155975.92000000001</v>
      </c>
      <c r="F55" s="176">
        <v>2265449.4300000002</v>
      </c>
      <c r="G55" s="176">
        <v>2015500.76</v>
      </c>
      <c r="H55" s="176">
        <v>2421425.35</v>
      </c>
      <c r="I55" s="176">
        <v>155975.92000000001</v>
      </c>
      <c r="J55" s="176">
        <v>2265449.4300000002</v>
      </c>
      <c r="K55" s="176">
        <v>2015501</v>
      </c>
    </row>
    <row r="56" spans="1:11" x14ac:dyDescent="0.3">
      <c r="A56" s="70" t="s">
        <v>835</v>
      </c>
      <c r="B56" s="70" t="s">
        <v>471</v>
      </c>
      <c r="C56" s="246" t="s">
        <v>1123</v>
      </c>
      <c r="D56" s="162">
        <v>0</v>
      </c>
      <c r="E56" s="162">
        <v>0</v>
      </c>
      <c r="F56" s="162">
        <v>0</v>
      </c>
      <c r="G56" s="176">
        <v>0</v>
      </c>
      <c r="H56" s="162">
        <v>0</v>
      </c>
      <c r="I56" s="162">
        <v>0</v>
      </c>
      <c r="J56" s="162">
        <v>0</v>
      </c>
      <c r="K56" s="176">
        <v>0</v>
      </c>
    </row>
    <row r="57" spans="1:11" x14ac:dyDescent="0.3">
      <c r="A57" s="70" t="s">
        <v>456</v>
      </c>
      <c r="B57" s="70" t="s">
        <v>1174</v>
      </c>
      <c r="C57" s="246" t="s">
        <v>354</v>
      </c>
      <c r="D57" s="162">
        <v>0</v>
      </c>
      <c r="E57" s="162">
        <v>0</v>
      </c>
      <c r="F57" s="162">
        <v>0</v>
      </c>
      <c r="G57" s="176">
        <v>0</v>
      </c>
      <c r="H57" s="162">
        <v>0</v>
      </c>
      <c r="I57" s="162">
        <v>0</v>
      </c>
      <c r="J57" s="162">
        <v>0</v>
      </c>
      <c r="K57" s="176">
        <v>0</v>
      </c>
    </row>
    <row r="58" spans="1:11" x14ac:dyDescent="0.3">
      <c r="A58" s="70" t="s">
        <v>538</v>
      </c>
      <c r="B58" s="70" t="s">
        <v>187</v>
      </c>
      <c r="C58" s="246" t="s">
        <v>1293</v>
      </c>
      <c r="D58" s="176">
        <v>2421425.35</v>
      </c>
      <c r="E58" s="176">
        <v>155975.92000000001</v>
      </c>
      <c r="F58" s="176">
        <v>2265449.4300000002</v>
      </c>
      <c r="G58" s="176">
        <v>2015500.76</v>
      </c>
      <c r="H58" s="176">
        <v>2421425.35</v>
      </c>
      <c r="I58" s="176">
        <v>155975.92000000001</v>
      </c>
      <c r="J58" s="176">
        <v>2265449.4300000002</v>
      </c>
      <c r="K58" s="176">
        <v>2015501</v>
      </c>
    </row>
    <row r="59" spans="1:11" x14ac:dyDescent="0.3">
      <c r="A59" s="70" t="s">
        <v>1042</v>
      </c>
      <c r="B59" s="70" t="s">
        <v>857</v>
      </c>
      <c r="C59" s="246" t="s">
        <v>682</v>
      </c>
      <c r="D59" s="162">
        <v>0</v>
      </c>
      <c r="E59" s="162">
        <v>0</v>
      </c>
      <c r="F59" s="162">
        <v>0</v>
      </c>
      <c r="G59" s="176">
        <v>0</v>
      </c>
      <c r="H59" s="162">
        <v>0</v>
      </c>
      <c r="I59" s="162">
        <v>0</v>
      </c>
      <c r="J59" s="162">
        <v>0</v>
      </c>
      <c r="K59" s="176">
        <v>0</v>
      </c>
    </row>
    <row r="60" spans="1:11" x14ac:dyDescent="0.3">
      <c r="A60" s="70" t="s">
        <v>239</v>
      </c>
      <c r="B60" s="70" t="s">
        <v>1152</v>
      </c>
      <c r="C60" s="246" t="s">
        <v>429</v>
      </c>
      <c r="D60" s="162">
        <v>0</v>
      </c>
      <c r="E60" s="162">
        <v>0</v>
      </c>
      <c r="F60" s="162">
        <v>0</v>
      </c>
      <c r="G60" s="176">
        <v>0</v>
      </c>
      <c r="H60" s="162">
        <v>0</v>
      </c>
      <c r="I60" s="162">
        <v>0</v>
      </c>
      <c r="J60" s="162">
        <v>0</v>
      </c>
      <c r="K60" s="176">
        <v>0</v>
      </c>
    </row>
    <row r="61" spans="1:11" x14ac:dyDescent="0.3">
      <c r="A61" s="70" t="s">
        <v>440</v>
      </c>
      <c r="B61" s="70" t="s">
        <v>647</v>
      </c>
      <c r="C61" s="246" t="s">
        <v>1204</v>
      </c>
      <c r="D61" s="162">
        <v>0</v>
      </c>
      <c r="E61" s="162">
        <v>0</v>
      </c>
      <c r="F61" s="162">
        <v>0</v>
      </c>
      <c r="G61" s="176">
        <v>0</v>
      </c>
      <c r="H61" s="162">
        <v>0</v>
      </c>
      <c r="I61" s="162">
        <v>0</v>
      </c>
      <c r="J61" s="162">
        <v>0</v>
      </c>
      <c r="K61" s="176">
        <v>0</v>
      </c>
    </row>
    <row r="62" spans="1:11" x14ac:dyDescent="0.3">
      <c r="A62" s="70" t="s">
        <v>543</v>
      </c>
      <c r="B62" s="70" t="s">
        <v>1078</v>
      </c>
      <c r="C62" s="246" t="s">
        <v>1069</v>
      </c>
      <c r="D62" s="162">
        <v>0</v>
      </c>
      <c r="E62" s="162">
        <v>0</v>
      </c>
      <c r="F62" s="162">
        <v>0</v>
      </c>
      <c r="G62" s="176">
        <v>0</v>
      </c>
      <c r="H62" s="162">
        <v>0</v>
      </c>
      <c r="I62" s="162">
        <v>0</v>
      </c>
      <c r="J62" s="162">
        <v>0</v>
      </c>
      <c r="K62" s="176">
        <v>0</v>
      </c>
    </row>
    <row r="63" spans="1:11" x14ac:dyDescent="0.3">
      <c r="A63" s="70" t="s">
        <v>1045</v>
      </c>
      <c r="B63" s="70" t="s">
        <v>763</v>
      </c>
      <c r="C63" s="246" t="s">
        <v>225</v>
      </c>
      <c r="D63" s="176">
        <v>0</v>
      </c>
      <c r="E63" s="162">
        <v>0</v>
      </c>
      <c r="F63" s="176">
        <v>0</v>
      </c>
      <c r="G63" s="176">
        <v>0</v>
      </c>
      <c r="H63" s="176">
        <v>0</v>
      </c>
      <c r="I63" s="162">
        <v>0</v>
      </c>
      <c r="J63" s="176">
        <v>0</v>
      </c>
      <c r="K63" s="176">
        <v>0</v>
      </c>
    </row>
    <row r="64" spans="1:11" x14ac:dyDescent="0.3">
      <c r="A64" s="70" t="s">
        <v>1099</v>
      </c>
      <c r="B64" s="70" t="s">
        <v>1188</v>
      </c>
      <c r="C64" s="246" t="s">
        <v>799</v>
      </c>
      <c r="D64" s="176">
        <v>88041.2</v>
      </c>
      <c r="E64" s="162">
        <v>0</v>
      </c>
      <c r="F64" s="176">
        <v>88041.2</v>
      </c>
      <c r="G64" s="176">
        <v>50559.83</v>
      </c>
      <c r="H64" s="176">
        <v>88041.2</v>
      </c>
      <c r="I64" s="162">
        <v>0</v>
      </c>
      <c r="J64" s="176">
        <v>88041.2</v>
      </c>
      <c r="K64" s="176">
        <v>50560</v>
      </c>
    </row>
    <row r="65" spans="1:11" x14ac:dyDescent="0.3">
      <c r="A65" s="70" t="s">
        <v>999</v>
      </c>
      <c r="B65" s="70" t="s">
        <v>400</v>
      </c>
      <c r="C65" s="246" t="s">
        <v>1231</v>
      </c>
      <c r="D65" s="162">
        <v>0</v>
      </c>
      <c r="E65" s="162">
        <v>0</v>
      </c>
      <c r="F65" s="162">
        <v>0</v>
      </c>
      <c r="G65" s="176">
        <v>0</v>
      </c>
      <c r="H65" s="162">
        <v>0</v>
      </c>
      <c r="I65" s="162">
        <v>0</v>
      </c>
      <c r="J65" s="162">
        <v>0</v>
      </c>
      <c r="K65" s="176">
        <v>0</v>
      </c>
    </row>
    <row r="66" spans="1:11" x14ac:dyDescent="0.3">
      <c r="A66" s="70" t="s">
        <v>40</v>
      </c>
      <c r="B66" s="70" t="s">
        <v>633</v>
      </c>
      <c r="C66" s="246" t="s">
        <v>16</v>
      </c>
      <c r="D66" s="176">
        <v>21583.18</v>
      </c>
      <c r="E66" s="162">
        <v>0</v>
      </c>
      <c r="F66" s="176">
        <v>21583.18</v>
      </c>
      <c r="G66" s="176">
        <v>11941.35</v>
      </c>
      <c r="H66" s="176">
        <v>21583.18</v>
      </c>
      <c r="I66" s="162">
        <v>0</v>
      </c>
      <c r="J66" s="176">
        <v>21583.18</v>
      </c>
      <c r="K66" s="176">
        <v>11941</v>
      </c>
    </row>
    <row r="67" spans="1:11" x14ac:dyDescent="0.3">
      <c r="A67" s="70" t="s">
        <v>116</v>
      </c>
      <c r="B67" s="70" t="s">
        <v>1100</v>
      </c>
      <c r="C67" s="246" t="s">
        <v>1183</v>
      </c>
      <c r="D67" s="162">
        <v>0</v>
      </c>
      <c r="E67" s="162">
        <v>0</v>
      </c>
      <c r="F67" s="162">
        <v>0</v>
      </c>
      <c r="G67" s="176">
        <v>0</v>
      </c>
      <c r="H67" s="162">
        <v>0</v>
      </c>
      <c r="I67" s="162">
        <v>0</v>
      </c>
      <c r="J67" s="162">
        <v>0</v>
      </c>
      <c r="K67" s="176">
        <v>0</v>
      </c>
    </row>
    <row r="68" spans="1:11" x14ac:dyDescent="0.3">
      <c r="A68" s="70" t="s">
        <v>959</v>
      </c>
      <c r="B68" s="70" t="s">
        <v>29</v>
      </c>
      <c r="C68" s="246" t="s">
        <v>1185</v>
      </c>
      <c r="D68" s="162">
        <v>0</v>
      </c>
      <c r="E68" s="162">
        <v>0</v>
      </c>
      <c r="F68" s="162">
        <v>0</v>
      </c>
      <c r="G68" s="176">
        <v>0</v>
      </c>
      <c r="H68" s="162">
        <v>0</v>
      </c>
      <c r="I68" s="162">
        <v>0</v>
      </c>
      <c r="J68" s="162">
        <v>0</v>
      </c>
      <c r="K68" s="176">
        <v>0</v>
      </c>
    </row>
    <row r="69" spans="1:11" x14ac:dyDescent="0.3">
      <c r="A69" s="70" t="s">
        <v>1042</v>
      </c>
      <c r="B69" s="70" t="s">
        <v>946</v>
      </c>
      <c r="C69" s="246" t="s">
        <v>522</v>
      </c>
      <c r="D69" s="162">
        <v>0</v>
      </c>
      <c r="E69" s="162">
        <v>0</v>
      </c>
      <c r="F69" s="162">
        <v>0</v>
      </c>
      <c r="G69" s="176">
        <v>0</v>
      </c>
      <c r="H69" s="162">
        <v>0</v>
      </c>
      <c r="I69" s="162">
        <v>0</v>
      </c>
      <c r="J69" s="162">
        <v>0</v>
      </c>
      <c r="K69" s="176">
        <v>0</v>
      </c>
    </row>
    <row r="70" spans="1:11" x14ac:dyDescent="0.3">
      <c r="A70" s="70" t="s">
        <v>239</v>
      </c>
      <c r="B70" s="70" t="s">
        <v>1116</v>
      </c>
      <c r="C70" s="246" t="s">
        <v>896</v>
      </c>
      <c r="D70" s="162">
        <v>0</v>
      </c>
      <c r="E70" s="162">
        <v>0</v>
      </c>
      <c r="F70" s="162">
        <v>0</v>
      </c>
      <c r="G70" s="176">
        <v>0</v>
      </c>
      <c r="H70" s="162">
        <v>0</v>
      </c>
      <c r="I70" s="162">
        <v>0</v>
      </c>
      <c r="J70" s="162">
        <v>0</v>
      </c>
      <c r="K70" s="176">
        <v>0</v>
      </c>
    </row>
    <row r="71" spans="1:11" x14ac:dyDescent="0.3">
      <c r="A71" s="70" t="s">
        <v>440</v>
      </c>
      <c r="B71" s="70" t="s">
        <v>263</v>
      </c>
      <c r="C71" s="246" t="s">
        <v>379</v>
      </c>
      <c r="D71" s="162">
        <v>0</v>
      </c>
      <c r="E71" s="162">
        <v>0</v>
      </c>
      <c r="F71" s="162">
        <v>0</v>
      </c>
      <c r="G71" s="176">
        <v>0</v>
      </c>
      <c r="H71" s="162">
        <v>0</v>
      </c>
      <c r="I71" s="162">
        <v>0</v>
      </c>
      <c r="J71" s="162">
        <v>0</v>
      </c>
      <c r="K71" s="176">
        <v>0</v>
      </c>
    </row>
    <row r="72" spans="1:11" x14ac:dyDescent="0.3">
      <c r="A72" s="70" t="s">
        <v>15</v>
      </c>
      <c r="B72" s="70" t="s">
        <v>236</v>
      </c>
      <c r="C72" s="246" t="s">
        <v>1283</v>
      </c>
      <c r="D72" s="176">
        <v>1862820.42</v>
      </c>
      <c r="E72" s="162">
        <v>0</v>
      </c>
      <c r="F72" s="176">
        <v>1862820.42</v>
      </c>
      <c r="G72" s="176">
        <v>1438432.56</v>
      </c>
      <c r="H72" s="176">
        <v>1862820.42</v>
      </c>
      <c r="I72" s="162">
        <v>0</v>
      </c>
      <c r="J72" s="176">
        <v>1862820.42</v>
      </c>
      <c r="K72" s="176">
        <v>1438432</v>
      </c>
    </row>
    <row r="73" spans="1:11" x14ac:dyDescent="0.3">
      <c r="A73" s="70" t="s">
        <v>1039</v>
      </c>
      <c r="B73" s="70" t="s">
        <v>905</v>
      </c>
      <c r="C73" s="246" t="s">
        <v>941</v>
      </c>
      <c r="D73" s="176">
        <v>386627.77</v>
      </c>
      <c r="E73" s="162">
        <v>0</v>
      </c>
      <c r="F73" s="176">
        <v>386627.77</v>
      </c>
      <c r="G73" s="176">
        <v>69935.42</v>
      </c>
      <c r="H73" s="176">
        <v>386627.77</v>
      </c>
      <c r="I73" s="162">
        <v>0</v>
      </c>
      <c r="J73" s="176">
        <v>386627.77</v>
      </c>
      <c r="K73" s="176">
        <v>69935</v>
      </c>
    </row>
    <row r="74" spans="1:11" x14ac:dyDescent="0.3">
      <c r="A74" s="70" t="s">
        <v>1042</v>
      </c>
      <c r="B74" s="70" t="s">
        <v>368</v>
      </c>
      <c r="C74" s="246" t="s">
        <v>688</v>
      </c>
      <c r="D74" s="176">
        <v>1476192.65</v>
      </c>
      <c r="E74" s="162">
        <v>0</v>
      </c>
      <c r="F74" s="176">
        <v>1476192.65</v>
      </c>
      <c r="G74" s="176">
        <v>1368497.14</v>
      </c>
      <c r="H74" s="176">
        <v>1476192.65</v>
      </c>
      <c r="I74" s="162">
        <v>0</v>
      </c>
      <c r="J74" s="176">
        <v>1476192.65</v>
      </c>
      <c r="K74" s="176">
        <v>1368497</v>
      </c>
    </row>
    <row r="75" spans="1:11" x14ac:dyDescent="0.3">
      <c r="A75" s="70" t="s">
        <v>351</v>
      </c>
      <c r="B75" s="70" t="s">
        <v>652</v>
      </c>
      <c r="C75" s="246" t="s">
        <v>261</v>
      </c>
      <c r="D75" s="176">
        <v>1517566.13</v>
      </c>
      <c r="E75" s="162">
        <v>0</v>
      </c>
      <c r="F75" s="176">
        <v>1517566.13</v>
      </c>
      <c r="G75" s="176">
        <v>354489.75</v>
      </c>
      <c r="H75" s="176">
        <v>1517566.13</v>
      </c>
      <c r="I75" s="162">
        <v>0</v>
      </c>
      <c r="J75" s="176">
        <v>1517566.13</v>
      </c>
      <c r="K75" s="176">
        <v>354490</v>
      </c>
    </row>
    <row r="76" spans="1:11" x14ac:dyDescent="0.3">
      <c r="A76" s="70" t="s">
        <v>856</v>
      </c>
      <c r="B76" s="70" t="s">
        <v>268</v>
      </c>
      <c r="C76" s="246" t="s">
        <v>1017</v>
      </c>
      <c r="D76" s="162">
        <v>0</v>
      </c>
      <c r="E76" s="162">
        <v>0</v>
      </c>
      <c r="F76" s="162">
        <v>0</v>
      </c>
      <c r="G76" s="176">
        <v>0</v>
      </c>
      <c r="H76" s="162">
        <v>0</v>
      </c>
      <c r="I76" s="162">
        <v>0</v>
      </c>
      <c r="J76" s="162">
        <v>0</v>
      </c>
      <c r="K76" s="176">
        <v>0</v>
      </c>
    </row>
    <row r="77" spans="1:11" x14ac:dyDescent="0.3">
      <c r="A77" s="70" t="s">
        <v>1042</v>
      </c>
      <c r="B77" s="70" t="s">
        <v>792</v>
      </c>
      <c r="C77" s="246" t="s">
        <v>720</v>
      </c>
      <c r="D77" s="176">
        <v>10106.049999999999</v>
      </c>
      <c r="E77" s="162">
        <v>0</v>
      </c>
      <c r="F77" s="176">
        <v>10106.049999999999</v>
      </c>
      <c r="G77" s="176">
        <v>11088.75</v>
      </c>
      <c r="H77" s="176">
        <v>10106.049999999999</v>
      </c>
      <c r="I77" s="162">
        <v>0</v>
      </c>
      <c r="J77" s="176">
        <v>10106.049999999999</v>
      </c>
      <c r="K77" s="176">
        <v>11089</v>
      </c>
    </row>
    <row r="78" spans="1:11" x14ac:dyDescent="0.3">
      <c r="A78" s="70" t="s">
        <v>239</v>
      </c>
      <c r="B78" s="70" t="s">
        <v>1312</v>
      </c>
      <c r="C78" s="246" t="s">
        <v>816</v>
      </c>
      <c r="D78" s="162">
        <v>0</v>
      </c>
      <c r="E78" s="162">
        <v>0</v>
      </c>
      <c r="F78" s="162">
        <v>0</v>
      </c>
      <c r="G78" s="176">
        <v>0</v>
      </c>
      <c r="H78" s="162">
        <v>0</v>
      </c>
      <c r="I78" s="162">
        <v>0</v>
      </c>
      <c r="J78" s="162">
        <v>0</v>
      </c>
      <c r="K78" s="176">
        <v>0</v>
      </c>
    </row>
    <row r="79" spans="1:11" x14ac:dyDescent="0.3">
      <c r="A79" s="70" t="s">
        <v>440</v>
      </c>
      <c r="B79" s="70" t="s">
        <v>346</v>
      </c>
      <c r="C79" s="246" t="s">
        <v>1015</v>
      </c>
      <c r="D79" s="176">
        <v>1507460.08</v>
      </c>
      <c r="E79" s="162">
        <v>0</v>
      </c>
      <c r="F79" s="176">
        <v>1507460.08</v>
      </c>
      <c r="G79" s="176">
        <v>343401</v>
      </c>
      <c r="H79" s="176">
        <v>1507460.08</v>
      </c>
      <c r="I79" s="162">
        <v>0</v>
      </c>
      <c r="J79" s="176">
        <v>1507460.08</v>
      </c>
      <c r="K79" s="176">
        <v>343401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zoomScaleNormal="100" zoomScaleSheetLayoutView="100" workbookViewId="0"/>
  </sheetViews>
  <sheetFormatPr defaultColWidth="9.109375" defaultRowHeight="14.4" x14ac:dyDescent="0.3"/>
  <cols>
    <col min="1" max="1" width="8.33203125" style="2" customWidth="1"/>
    <col min="2" max="2" width="79.44140625" style="2" customWidth="1"/>
    <col min="3" max="3" width="4.44140625" style="58" customWidth="1"/>
    <col min="4" max="7" width="15.33203125" style="236" customWidth="1"/>
    <col min="8" max="16384" width="9.109375" style="112"/>
  </cols>
  <sheetData>
    <row r="1" spans="1:7" ht="20.399999999999999" x14ac:dyDescent="0.3">
      <c r="A1" s="11" t="s">
        <v>743</v>
      </c>
      <c r="B1" s="11" t="s">
        <v>255</v>
      </c>
      <c r="C1" s="51" t="s">
        <v>898</v>
      </c>
      <c r="D1" s="157" t="s">
        <v>1226</v>
      </c>
      <c r="E1" s="157" t="s">
        <v>444</v>
      </c>
      <c r="F1" s="157" t="s">
        <v>349</v>
      </c>
      <c r="G1" s="157" t="s">
        <v>536</v>
      </c>
    </row>
    <row r="2" spans="1:7" x14ac:dyDescent="0.3">
      <c r="A2" s="70" t="s">
        <v>1110</v>
      </c>
      <c r="B2" s="70" t="s">
        <v>742</v>
      </c>
      <c r="C2" s="246" t="s">
        <v>451</v>
      </c>
      <c r="D2" s="176">
        <v>7806669.4199999999</v>
      </c>
      <c r="E2" s="176">
        <v>5549453.1100000003</v>
      </c>
      <c r="F2" s="176">
        <v>7806669.4199999999</v>
      </c>
      <c r="G2" s="176">
        <v>5549453</v>
      </c>
    </row>
    <row r="3" spans="1:7" x14ac:dyDescent="0.3">
      <c r="A3" s="70" t="s">
        <v>942</v>
      </c>
      <c r="B3" s="70" t="s">
        <v>1244</v>
      </c>
      <c r="C3" s="246" t="s">
        <v>168</v>
      </c>
      <c r="D3" s="144">
        <v>2857733.36</v>
      </c>
      <c r="E3" s="144">
        <v>2849423.8</v>
      </c>
      <c r="F3" s="144">
        <v>2857733.36</v>
      </c>
      <c r="G3" s="144">
        <v>2849424</v>
      </c>
    </row>
    <row r="4" spans="1:7" x14ac:dyDescent="0.3">
      <c r="A4" s="70" t="s">
        <v>1168</v>
      </c>
      <c r="B4" s="70" t="s">
        <v>39</v>
      </c>
      <c r="C4" s="246" t="s">
        <v>806</v>
      </c>
      <c r="D4" s="176">
        <v>1327757</v>
      </c>
      <c r="E4" s="176">
        <v>1327757</v>
      </c>
      <c r="F4" s="176">
        <v>1327757</v>
      </c>
      <c r="G4" s="176">
        <v>1327757</v>
      </c>
    </row>
    <row r="5" spans="1:7" x14ac:dyDescent="0.3">
      <c r="A5" s="70" t="s">
        <v>453</v>
      </c>
      <c r="B5" s="70" t="s">
        <v>334</v>
      </c>
      <c r="C5" s="246" t="s">
        <v>1225</v>
      </c>
      <c r="D5" s="176">
        <v>1327757</v>
      </c>
      <c r="E5" s="176">
        <v>1327757</v>
      </c>
      <c r="F5" s="176">
        <v>1327757</v>
      </c>
      <c r="G5" s="176">
        <v>1327757</v>
      </c>
    </row>
    <row r="6" spans="1:7" x14ac:dyDescent="0.3">
      <c r="A6" s="70" t="s">
        <v>1042</v>
      </c>
      <c r="B6" s="70" t="s">
        <v>891</v>
      </c>
      <c r="C6" s="246" t="s">
        <v>139</v>
      </c>
      <c r="D6" s="162">
        <v>0</v>
      </c>
      <c r="E6" s="176">
        <v>0</v>
      </c>
      <c r="F6" s="162">
        <v>0</v>
      </c>
      <c r="G6" s="176">
        <v>0</v>
      </c>
    </row>
    <row r="7" spans="1:7" x14ac:dyDescent="0.3">
      <c r="A7" s="70" t="s">
        <v>239</v>
      </c>
      <c r="B7" s="70" t="s">
        <v>904</v>
      </c>
      <c r="C7" s="246" t="s">
        <v>271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3">
      <c r="A8" s="70" t="s">
        <v>93</v>
      </c>
      <c r="B8" s="70" t="s">
        <v>921</v>
      </c>
      <c r="C8" s="246" t="s">
        <v>719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3">
      <c r="A9" s="70" t="s">
        <v>1090</v>
      </c>
      <c r="B9" s="70" t="s">
        <v>764</v>
      </c>
      <c r="C9" s="246" t="s">
        <v>822</v>
      </c>
      <c r="D9" s="176">
        <v>664000</v>
      </c>
      <c r="E9" s="176">
        <v>664000</v>
      </c>
      <c r="F9" s="176">
        <v>664000</v>
      </c>
      <c r="G9" s="176">
        <v>664000</v>
      </c>
    </row>
    <row r="10" spans="1:7" x14ac:dyDescent="0.3">
      <c r="A10" s="70" t="s">
        <v>858</v>
      </c>
      <c r="B10" s="70" t="s">
        <v>150</v>
      </c>
      <c r="C10" s="246" t="s">
        <v>809</v>
      </c>
      <c r="D10" s="176">
        <v>132775.70000000001</v>
      </c>
      <c r="E10" s="176">
        <v>132775.70000000001</v>
      </c>
      <c r="F10" s="176">
        <v>132775.70000000001</v>
      </c>
      <c r="G10" s="176">
        <v>132776</v>
      </c>
    </row>
    <row r="11" spans="1:7" x14ac:dyDescent="0.3">
      <c r="A11" s="70" t="s">
        <v>246</v>
      </c>
      <c r="B11" s="70" t="s">
        <v>418</v>
      </c>
      <c r="C11" s="246" t="s">
        <v>449</v>
      </c>
      <c r="D11" s="176">
        <v>132775.70000000001</v>
      </c>
      <c r="E11" s="176">
        <v>132775.70000000001</v>
      </c>
      <c r="F11" s="176">
        <v>132775.70000000001</v>
      </c>
      <c r="G11" s="176">
        <v>132776</v>
      </c>
    </row>
    <row r="12" spans="1:7" x14ac:dyDescent="0.3">
      <c r="A12" s="70" t="s">
        <v>1042</v>
      </c>
      <c r="B12" s="70" t="s">
        <v>745</v>
      </c>
      <c r="C12" s="246" t="s">
        <v>26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3">
      <c r="A13" s="70" t="s">
        <v>902</v>
      </c>
      <c r="B13" s="70" t="s">
        <v>472</v>
      </c>
      <c r="C13" s="246" t="s">
        <v>1209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3">
      <c r="A14" s="70" t="s">
        <v>238</v>
      </c>
      <c r="B14" s="70" t="s">
        <v>190</v>
      </c>
      <c r="C14" s="246" t="s">
        <v>971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3">
      <c r="A15" s="70" t="s">
        <v>215</v>
      </c>
      <c r="B15" s="70" t="s">
        <v>908</v>
      </c>
      <c r="C15" s="246" t="s">
        <v>1049</v>
      </c>
      <c r="D15" s="162">
        <v>0</v>
      </c>
      <c r="E15" s="176">
        <v>0</v>
      </c>
      <c r="F15" s="162">
        <v>0</v>
      </c>
      <c r="G15" s="176">
        <v>0</v>
      </c>
    </row>
    <row r="16" spans="1:7" x14ac:dyDescent="0.3">
      <c r="A16" s="70" t="s">
        <v>1246</v>
      </c>
      <c r="B16" s="70" t="s">
        <v>771</v>
      </c>
      <c r="C16" s="246" t="s">
        <v>1171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3">
      <c r="A17" s="70" t="s">
        <v>867</v>
      </c>
      <c r="B17" s="70" t="s">
        <v>639</v>
      </c>
      <c r="C17" s="246" t="s">
        <v>358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3">
      <c r="A18" s="70" t="s">
        <v>1042</v>
      </c>
      <c r="B18" s="70" t="s">
        <v>838</v>
      </c>
      <c r="C18" s="246" t="s">
        <v>559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3">
      <c r="A19" s="70" t="s">
        <v>239</v>
      </c>
      <c r="B19" s="70" t="s">
        <v>41</v>
      </c>
      <c r="C19" s="246" t="s">
        <v>1159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3">
      <c r="A20" s="70" t="s">
        <v>1000</v>
      </c>
      <c r="B20" s="70" t="s">
        <v>1262</v>
      </c>
      <c r="C20" s="246" t="s">
        <v>989</v>
      </c>
      <c r="D20" s="176">
        <v>724891.1</v>
      </c>
      <c r="E20" s="176">
        <v>747720.23</v>
      </c>
      <c r="F20" s="176">
        <v>724891.1</v>
      </c>
      <c r="G20" s="176">
        <v>747720</v>
      </c>
    </row>
    <row r="21" spans="1:7" x14ac:dyDescent="0.3">
      <c r="A21" s="70" t="s">
        <v>1156</v>
      </c>
      <c r="B21" s="70" t="s">
        <v>1326</v>
      </c>
      <c r="C21" s="246" t="s">
        <v>755</v>
      </c>
      <c r="D21" s="176">
        <v>724891.1</v>
      </c>
      <c r="E21" s="176">
        <v>747720.23</v>
      </c>
      <c r="F21" s="176">
        <v>724891.1</v>
      </c>
      <c r="G21" s="176">
        <v>747720</v>
      </c>
    </row>
    <row r="22" spans="1:7" x14ac:dyDescent="0.3">
      <c r="A22" s="70" t="s">
        <v>1042</v>
      </c>
      <c r="B22" s="70" t="s">
        <v>48</v>
      </c>
      <c r="C22" s="246" t="s">
        <v>691</v>
      </c>
      <c r="D22" s="176">
        <v>0</v>
      </c>
      <c r="E22" s="176">
        <v>0</v>
      </c>
      <c r="F22" s="176">
        <v>0</v>
      </c>
      <c r="G22" s="176">
        <v>0</v>
      </c>
    </row>
    <row r="23" spans="1:7" x14ac:dyDescent="0.3">
      <c r="A23" s="70" t="s">
        <v>322</v>
      </c>
      <c r="B23" s="70" t="s">
        <v>767</v>
      </c>
      <c r="C23" s="246" t="s">
        <v>398</v>
      </c>
      <c r="D23" s="176">
        <v>8309.56</v>
      </c>
      <c r="E23" s="176">
        <v>-22829.13</v>
      </c>
      <c r="F23" s="176">
        <v>8309.56</v>
      </c>
      <c r="G23" s="176">
        <v>-22829</v>
      </c>
    </row>
    <row r="24" spans="1:7" x14ac:dyDescent="0.3">
      <c r="A24" s="70" t="s">
        <v>372</v>
      </c>
      <c r="B24" s="70" t="s">
        <v>411</v>
      </c>
      <c r="C24" s="246" t="s">
        <v>307</v>
      </c>
      <c r="D24" s="176">
        <v>4948936.0599999996</v>
      </c>
      <c r="E24" s="176">
        <v>2700029.31</v>
      </c>
      <c r="F24" s="176">
        <v>4948936.0599999996</v>
      </c>
      <c r="G24" s="176">
        <v>2700029</v>
      </c>
    </row>
    <row r="25" spans="1:7" x14ac:dyDescent="0.3">
      <c r="A25" s="70" t="s">
        <v>380</v>
      </c>
      <c r="B25" s="70" t="s">
        <v>438</v>
      </c>
      <c r="C25" s="246" t="s">
        <v>1190</v>
      </c>
      <c r="D25" s="176">
        <v>16612.169999999998</v>
      </c>
      <c r="E25" s="176">
        <v>19786.55</v>
      </c>
      <c r="F25" s="176">
        <v>16612.169999999998</v>
      </c>
      <c r="G25" s="176">
        <v>19786</v>
      </c>
    </row>
    <row r="26" spans="1:7" x14ac:dyDescent="0.3">
      <c r="A26" s="70" t="s">
        <v>289</v>
      </c>
      <c r="B26" s="70" t="s">
        <v>23</v>
      </c>
      <c r="C26" s="246" t="s">
        <v>100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3">
      <c r="A27" s="70" t="s">
        <v>835</v>
      </c>
      <c r="B27" s="70" t="s">
        <v>1228</v>
      </c>
      <c r="C27" s="246" t="s">
        <v>1210</v>
      </c>
      <c r="D27" s="162">
        <v>0</v>
      </c>
      <c r="E27" s="176">
        <v>0</v>
      </c>
      <c r="F27" s="162">
        <v>0</v>
      </c>
      <c r="G27" s="176">
        <v>0</v>
      </c>
    </row>
    <row r="28" spans="1:7" x14ac:dyDescent="0.3">
      <c r="A28" s="70" t="s">
        <v>456</v>
      </c>
      <c r="B28" s="70" t="s">
        <v>630</v>
      </c>
      <c r="C28" s="246" t="s">
        <v>1064</v>
      </c>
      <c r="D28" s="162">
        <v>0</v>
      </c>
      <c r="E28" s="176">
        <v>0</v>
      </c>
      <c r="F28" s="162">
        <v>0</v>
      </c>
      <c r="G28" s="176">
        <v>0</v>
      </c>
    </row>
    <row r="29" spans="1:7" x14ac:dyDescent="0.3">
      <c r="A29" s="70" t="s">
        <v>538</v>
      </c>
      <c r="B29" s="70" t="s">
        <v>513</v>
      </c>
      <c r="C29" s="246" t="s">
        <v>154</v>
      </c>
      <c r="D29" s="162">
        <v>0</v>
      </c>
      <c r="E29" s="176">
        <v>0</v>
      </c>
      <c r="F29" s="162">
        <v>0</v>
      </c>
      <c r="G29" s="176">
        <v>0</v>
      </c>
    </row>
    <row r="30" spans="1:7" x14ac:dyDescent="0.3">
      <c r="A30" s="70" t="s">
        <v>1042</v>
      </c>
      <c r="B30" s="70" t="s">
        <v>857</v>
      </c>
      <c r="C30" s="246" t="s">
        <v>875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3">
      <c r="A31" s="70" t="s">
        <v>239</v>
      </c>
      <c r="B31" s="70" t="s">
        <v>179</v>
      </c>
      <c r="C31" s="246" t="s">
        <v>1127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3">
      <c r="A32" s="70" t="s">
        <v>440</v>
      </c>
      <c r="B32" s="70" t="s">
        <v>188</v>
      </c>
      <c r="C32" s="246" t="s">
        <v>1189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3">
      <c r="A33" s="70" t="s">
        <v>543</v>
      </c>
      <c r="B33" s="70" t="s">
        <v>912</v>
      </c>
      <c r="C33" s="246" t="s">
        <v>1018</v>
      </c>
      <c r="D33" s="162">
        <v>0</v>
      </c>
      <c r="E33" s="176">
        <v>0</v>
      </c>
      <c r="F33" s="162">
        <v>0</v>
      </c>
      <c r="G33" s="176">
        <v>0</v>
      </c>
    </row>
    <row r="34" spans="1:7" x14ac:dyDescent="0.3">
      <c r="A34" s="70" t="s">
        <v>1045</v>
      </c>
      <c r="B34" s="70" t="s">
        <v>1145</v>
      </c>
      <c r="C34" s="246" t="s">
        <v>914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3">
      <c r="A35" s="70" t="s">
        <v>1099</v>
      </c>
      <c r="B35" s="70" t="s">
        <v>1065</v>
      </c>
      <c r="C35" s="246" t="s">
        <v>795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3">
      <c r="A36" s="70" t="s">
        <v>999</v>
      </c>
      <c r="B36" s="70" t="s">
        <v>1044</v>
      </c>
      <c r="C36" s="246" t="s">
        <v>839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3">
      <c r="A37" s="70" t="s">
        <v>40</v>
      </c>
      <c r="B37" s="70" t="s">
        <v>1263</v>
      </c>
      <c r="C37" s="246" t="s">
        <v>716</v>
      </c>
      <c r="D37" s="176">
        <v>16612.169999999998</v>
      </c>
      <c r="E37" s="176">
        <v>14826.45</v>
      </c>
      <c r="F37" s="176">
        <v>16612.169999999998</v>
      </c>
      <c r="G37" s="176">
        <v>14826</v>
      </c>
    </row>
    <row r="38" spans="1:7" x14ac:dyDescent="0.3">
      <c r="A38" s="70" t="s">
        <v>780</v>
      </c>
      <c r="B38" s="70" t="s">
        <v>1329</v>
      </c>
      <c r="C38" s="246" t="s">
        <v>886</v>
      </c>
      <c r="D38" s="176">
        <v>0</v>
      </c>
      <c r="E38" s="176">
        <v>4960.1000000000004</v>
      </c>
      <c r="F38" s="176">
        <v>0</v>
      </c>
      <c r="G38" s="176">
        <v>4960</v>
      </c>
    </row>
    <row r="39" spans="1:7" x14ac:dyDescent="0.3">
      <c r="A39" s="70" t="s">
        <v>928</v>
      </c>
      <c r="B39" s="70" t="s">
        <v>658</v>
      </c>
      <c r="C39" s="246" t="s">
        <v>997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3">
      <c r="A40" s="70" t="s">
        <v>341</v>
      </c>
      <c r="B40" s="70" t="s">
        <v>182</v>
      </c>
      <c r="C40" s="246" t="s">
        <v>819</v>
      </c>
      <c r="D40" s="176">
        <v>0</v>
      </c>
      <c r="E40" s="176">
        <v>0</v>
      </c>
      <c r="F40" s="176">
        <v>0</v>
      </c>
      <c r="G40" s="176">
        <v>0</v>
      </c>
    </row>
    <row r="41" spans="1:7" x14ac:dyDescent="0.3">
      <c r="A41" s="70" t="s">
        <v>410</v>
      </c>
      <c r="B41" s="70" t="s">
        <v>34</v>
      </c>
      <c r="C41" s="246" t="s">
        <v>1087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3">
      <c r="A42" s="70" t="s">
        <v>376</v>
      </c>
      <c r="B42" s="70" t="s">
        <v>586</v>
      </c>
      <c r="C42" s="246" t="s">
        <v>1251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3">
      <c r="A43" s="70" t="s">
        <v>1042</v>
      </c>
      <c r="B43" s="70" t="s">
        <v>420</v>
      </c>
      <c r="C43" s="246" t="s">
        <v>675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3">
      <c r="A44" s="70" t="s">
        <v>843</v>
      </c>
      <c r="B44" s="70" t="s">
        <v>880</v>
      </c>
      <c r="C44" s="246" t="s">
        <v>521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3">
      <c r="A45" s="70" t="s">
        <v>116</v>
      </c>
      <c r="B45" s="70" t="s">
        <v>990</v>
      </c>
      <c r="C45" s="246" t="s">
        <v>1202</v>
      </c>
      <c r="D45" s="176">
        <v>4843647.8</v>
      </c>
      <c r="E45" s="176">
        <v>2597958.35</v>
      </c>
      <c r="F45" s="176">
        <v>4843647.8</v>
      </c>
      <c r="G45" s="176">
        <v>2597959</v>
      </c>
    </row>
    <row r="46" spans="1:7" x14ac:dyDescent="0.3">
      <c r="A46" s="70" t="s">
        <v>162</v>
      </c>
      <c r="B46" s="70" t="s">
        <v>1094</v>
      </c>
      <c r="C46" s="246" t="s">
        <v>128</v>
      </c>
      <c r="D46" s="176">
        <v>3444439.92</v>
      </c>
      <c r="E46" s="176">
        <v>1272627.06</v>
      </c>
      <c r="F46" s="176">
        <v>3444439.92</v>
      </c>
      <c r="G46" s="176">
        <v>1272627</v>
      </c>
    </row>
    <row r="47" spans="1:7" x14ac:dyDescent="0.3">
      <c r="A47" s="70" t="s">
        <v>835</v>
      </c>
      <c r="B47" s="70" t="s">
        <v>1302</v>
      </c>
      <c r="C47" s="246" t="s">
        <v>1057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3">
      <c r="A48" s="70" t="s">
        <v>456</v>
      </c>
      <c r="B48" s="70" t="s">
        <v>599</v>
      </c>
      <c r="C48" s="246" t="s">
        <v>6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3">
      <c r="A49" s="70" t="s">
        <v>538</v>
      </c>
      <c r="B49" s="70" t="s">
        <v>194</v>
      </c>
      <c r="C49" s="246" t="s">
        <v>972</v>
      </c>
      <c r="D49" s="176">
        <v>3444439.92</v>
      </c>
      <c r="E49" s="176">
        <v>1272627.06</v>
      </c>
      <c r="F49" s="176">
        <v>3444439.92</v>
      </c>
      <c r="G49" s="176">
        <v>1272627</v>
      </c>
    </row>
    <row r="50" spans="1:7" x14ac:dyDescent="0.3">
      <c r="A50" s="70" t="s">
        <v>1042</v>
      </c>
      <c r="B50" s="70" t="s">
        <v>857</v>
      </c>
      <c r="C50" s="246" t="s">
        <v>1061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3">
      <c r="A51" s="70" t="s">
        <v>239</v>
      </c>
      <c r="B51" s="70" t="s">
        <v>927</v>
      </c>
      <c r="C51" s="246" t="s">
        <v>118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3">
      <c r="A52" s="70" t="s">
        <v>440</v>
      </c>
      <c r="B52" s="70" t="s">
        <v>402</v>
      </c>
      <c r="C52" s="246" t="s">
        <v>1142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3">
      <c r="A53" s="70" t="s">
        <v>543</v>
      </c>
      <c r="B53" s="70" t="s">
        <v>1082</v>
      </c>
      <c r="C53" s="246" t="s">
        <v>1</v>
      </c>
      <c r="D53" s="176">
        <v>1319556.8500000001</v>
      </c>
      <c r="E53" s="176">
        <v>1261854.54</v>
      </c>
      <c r="F53" s="176">
        <v>1319556.8500000001</v>
      </c>
      <c r="G53" s="176">
        <v>1261855</v>
      </c>
    </row>
    <row r="54" spans="1:7" x14ac:dyDescent="0.3">
      <c r="A54" s="70" t="s">
        <v>1045</v>
      </c>
      <c r="B54" s="70" t="s">
        <v>1157</v>
      </c>
      <c r="C54" s="246" t="s">
        <v>553</v>
      </c>
      <c r="D54" s="176">
        <v>46713.36</v>
      </c>
      <c r="E54" s="176">
        <v>39857.96</v>
      </c>
      <c r="F54" s="176">
        <v>46713.36</v>
      </c>
      <c r="G54" s="176">
        <v>39858</v>
      </c>
    </row>
    <row r="55" spans="1:7" x14ac:dyDescent="0.3">
      <c r="A55" s="70" t="s">
        <v>1099</v>
      </c>
      <c r="B55" s="70" t="s">
        <v>530</v>
      </c>
      <c r="C55" s="246" t="s">
        <v>529</v>
      </c>
      <c r="D55" s="176">
        <v>29202.87</v>
      </c>
      <c r="E55" s="176">
        <v>23041.87</v>
      </c>
      <c r="F55" s="176">
        <v>29202.87</v>
      </c>
      <c r="G55" s="176">
        <v>23042</v>
      </c>
    </row>
    <row r="56" spans="1:7" x14ac:dyDescent="0.3">
      <c r="A56" s="70" t="s">
        <v>999</v>
      </c>
      <c r="B56" s="70" t="s">
        <v>230</v>
      </c>
      <c r="C56" s="246" t="s">
        <v>1146</v>
      </c>
      <c r="D56" s="176">
        <v>3439.24</v>
      </c>
      <c r="E56" s="176">
        <v>576.91999999999996</v>
      </c>
      <c r="F56" s="176">
        <v>3439.24</v>
      </c>
      <c r="G56" s="176">
        <v>577</v>
      </c>
    </row>
    <row r="57" spans="1:7" x14ac:dyDescent="0.3">
      <c r="A57" s="70" t="s">
        <v>40</v>
      </c>
      <c r="B57" s="70" t="s">
        <v>715</v>
      </c>
      <c r="C57" s="246" t="s">
        <v>119</v>
      </c>
      <c r="D57" s="162">
        <v>0</v>
      </c>
      <c r="E57" s="176">
        <v>0</v>
      </c>
      <c r="F57" s="162">
        <v>0</v>
      </c>
      <c r="G57" s="176">
        <v>0</v>
      </c>
    </row>
    <row r="58" spans="1:7" x14ac:dyDescent="0.3">
      <c r="A58" s="70" t="s">
        <v>780</v>
      </c>
      <c r="B58" s="70" t="s">
        <v>878</v>
      </c>
      <c r="C58" s="246" t="s">
        <v>738</v>
      </c>
      <c r="D58" s="176">
        <v>295.56</v>
      </c>
      <c r="E58" s="176">
        <v>0</v>
      </c>
      <c r="F58" s="176">
        <v>295.56</v>
      </c>
      <c r="G58" s="176">
        <v>0</v>
      </c>
    </row>
    <row r="59" spans="1:7" x14ac:dyDescent="0.3">
      <c r="A59" s="70" t="s">
        <v>15</v>
      </c>
      <c r="B59" s="70" t="s">
        <v>664</v>
      </c>
      <c r="C59" s="246" t="s">
        <v>1307</v>
      </c>
      <c r="D59" s="176">
        <v>88676.09</v>
      </c>
      <c r="E59" s="176">
        <v>54384.41</v>
      </c>
      <c r="F59" s="176">
        <v>88676.09</v>
      </c>
      <c r="G59" s="176">
        <v>54384</v>
      </c>
    </row>
    <row r="60" spans="1:7" x14ac:dyDescent="0.3">
      <c r="A60" s="70" t="s">
        <v>1039</v>
      </c>
      <c r="B60" s="70" t="s">
        <v>1134</v>
      </c>
      <c r="C60" s="246" t="s">
        <v>305</v>
      </c>
      <c r="D60" s="176">
        <v>49422.09</v>
      </c>
      <c r="E60" s="176">
        <v>33238.410000000003</v>
      </c>
      <c r="F60" s="176">
        <v>49422.09</v>
      </c>
      <c r="G60" s="176">
        <v>33238</v>
      </c>
    </row>
    <row r="61" spans="1:7" x14ac:dyDescent="0.3">
      <c r="A61" s="70" t="s">
        <v>1042</v>
      </c>
      <c r="B61" s="70" t="s">
        <v>71</v>
      </c>
      <c r="C61" s="246" t="s">
        <v>640</v>
      </c>
      <c r="D61" s="176">
        <v>39254</v>
      </c>
      <c r="E61" s="176">
        <v>21146</v>
      </c>
      <c r="F61" s="176">
        <v>39254</v>
      </c>
      <c r="G61" s="176">
        <v>21146</v>
      </c>
    </row>
    <row r="62" spans="1:7" x14ac:dyDescent="0.3">
      <c r="A62" s="70" t="s">
        <v>1280</v>
      </c>
      <c r="B62" s="70" t="s">
        <v>421</v>
      </c>
      <c r="C62" s="246" t="s">
        <v>848</v>
      </c>
      <c r="D62" s="176">
        <v>0</v>
      </c>
      <c r="E62" s="176">
        <v>27900</v>
      </c>
      <c r="F62" s="176">
        <v>0</v>
      </c>
      <c r="G62" s="176">
        <v>27900</v>
      </c>
    </row>
    <row r="63" spans="1:7" x14ac:dyDescent="0.3">
      <c r="A63" s="70" t="s">
        <v>1191</v>
      </c>
      <c r="B63" s="70" t="s">
        <v>635</v>
      </c>
      <c r="C63" s="246" t="s">
        <v>692</v>
      </c>
      <c r="D63" s="162">
        <v>0</v>
      </c>
      <c r="E63" s="176">
        <v>0</v>
      </c>
      <c r="F63" s="162">
        <v>0</v>
      </c>
      <c r="G63" s="176">
        <v>0</v>
      </c>
    </row>
    <row r="64" spans="1:7" x14ac:dyDescent="0.3">
      <c r="A64" s="70" t="s">
        <v>351</v>
      </c>
      <c r="B64" s="70" t="s">
        <v>511</v>
      </c>
      <c r="C64" s="246" t="s">
        <v>135</v>
      </c>
      <c r="D64" s="176">
        <v>0</v>
      </c>
      <c r="E64" s="176">
        <v>0</v>
      </c>
      <c r="F64" s="176">
        <v>0</v>
      </c>
      <c r="G64" s="176">
        <v>0</v>
      </c>
    </row>
    <row r="65" spans="1:7" x14ac:dyDescent="0.3">
      <c r="A65" s="70" t="s">
        <v>72</v>
      </c>
      <c r="B65" s="70" t="s">
        <v>247</v>
      </c>
      <c r="C65" s="246" t="s">
        <v>1184</v>
      </c>
      <c r="D65" s="162">
        <v>0</v>
      </c>
      <c r="E65" s="176">
        <v>0</v>
      </c>
      <c r="F65" s="162">
        <v>0</v>
      </c>
      <c r="G65" s="176">
        <v>0</v>
      </c>
    </row>
    <row r="66" spans="1:7" x14ac:dyDescent="0.3">
      <c r="A66" s="70" t="s">
        <v>1042</v>
      </c>
      <c r="B66" s="70" t="s">
        <v>333</v>
      </c>
      <c r="C66" s="246" t="s">
        <v>581</v>
      </c>
      <c r="D66" s="176">
        <v>0</v>
      </c>
      <c r="E66" s="176">
        <v>0</v>
      </c>
      <c r="F66" s="176">
        <v>0</v>
      </c>
      <c r="G66" s="176">
        <v>0</v>
      </c>
    </row>
    <row r="67" spans="1:7" x14ac:dyDescent="0.3">
      <c r="A67" s="70" t="s">
        <v>239</v>
      </c>
      <c r="B67" s="70" t="s">
        <v>57</v>
      </c>
      <c r="C67" s="246" t="s">
        <v>319</v>
      </c>
      <c r="D67" s="162">
        <v>0</v>
      </c>
      <c r="E67" s="176">
        <v>0</v>
      </c>
      <c r="F67" s="162">
        <v>0</v>
      </c>
      <c r="G67" s="176">
        <v>0</v>
      </c>
    </row>
    <row r="68" spans="1:7" x14ac:dyDescent="0.3">
      <c r="A68" s="70" t="s">
        <v>440</v>
      </c>
      <c r="B68" s="70" t="s">
        <v>1124</v>
      </c>
      <c r="C68" s="246" t="s">
        <v>141</v>
      </c>
      <c r="D68" s="162">
        <v>0</v>
      </c>
      <c r="E68" s="176">
        <v>0</v>
      </c>
      <c r="F68" s="162">
        <v>0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"/>
  <sheetViews>
    <sheetView zoomScaleNormal="100" zoomScaleSheetLayoutView="100" workbookViewId="0"/>
  </sheetViews>
  <sheetFormatPr defaultRowHeight="14.4" x14ac:dyDescent="0.3"/>
  <cols>
    <col min="1" max="1" width="63.109375" style="197" customWidth="1"/>
    <col min="2" max="2" width="24.88671875" style="197" customWidth="1"/>
  </cols>
  <sheetData>
    <row r="1" spans="1:2" x14ac:dyDescent="0.3">
      <c r="A1" s="192" t="s">
        <v>624</v>
      </c>
      <c r="B1" s="192" t="s">
        <v>251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zoomScaleSheetLayoutView="100" workbookViewId="0"/>
  </sheetViews>
  <sheetFormatPr defaultRowHeight="14.4" x14ac:dyDescent="0.3"/>
  <cols>
    <col min="1" max="2" width="43.33203125" customWidth="1"/>
    <col min="3" max="3" width="19.109375" customWidth="1"/>
  </cols>
  <sheetData>
    <row r="1" spans="1:2" ht="15" thickBot="1" x14ac:dyDescent="0.35">
      <c r="A1" s="44" t="s">
        <v>276</v>
      </c>
    </row>
    <row r="2" spans="1:2" ht="21" customHeight="1" thickTop="1" thickBot="1" x14ac:dyDescent="0.35">
      <c r="A2" s="196" t="s">
        <v>597</v>
      </c>
      <c r="B2" s="32" t="s">
        <v>1004</v>
      </c>
    </row>
    <row r="3" spans="1:2" ht="30" customHeight="1" thickTop="1" thickBot="1" x14ac:dyDescent="0.35">
      <c r="A3" s="195" t="s">
        <v>916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2"/>
  <sheetViews>
    <sheetView showGridLines="0" topLeftCell="A19" zoomScaleNormal="100" zoomScaleSheetLayoutView="100" workbookViewId="0"/>
  </sheetViews>
  <sheetFormatPr defaultRowHeight="14.4" x14ac:dyDescent="0.3"/>
  <cols>
    <col min="1" max="1" width="29.109375" customWidth="1"/>
    <col min="2" max="10" width="11.33203125" customWidth="1"/>
  </cols>
  <sheetData>
    <row r="1" spans="1:33" x14ac:dyDescent="0.3">
      <c r="A1" s="44" t="s">
        <v>636</v>
      </c>
    </row>
    <row r="2" spans="1:33" ht="15" thickBot="1" x14ac:dyDescent="0.35">
      <c r="A2" s="251" t="s">
        <v>258</v>
      </c>
    </row>
    <row r="3" spans="1:33" ht="16.5" customHeight="1" thickTop="1" thickBot="1" x14ac:dyDescent="0.35">
      <c r="A3" s="252" t="s">
        <v>983</v>
      </c>
      <c r="B3" s="257" t="s">
        <v>137</v>
      </c>
      <c r="C3" s="258"/>
      <c r="D3" s="258"/>
      <c r="E3" s="258"/>
      <c r="F3" s="258"/>
      <c r="G3" s="258"/>
      <c r="H3" s="258"/>
      <c r="I3" s="258"/>
      <c r="J3" s="259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</row>
    <row r="4" spans="1:33" ht="66.75" customHeight="1" thickTop="1" thickBot="1" x14ac:dyDescent="0.35">
      <c r="A4" s="253"/>
      <c r="B4" s="196" t="s">
        <v>1242</v>
      </c>
      <c r="C4" s="32" t="s">
        <v>1071</v>
      </c>
      <c r="D4" s="196" t="s">
        <v>62</v>
      </c>
      <c r="E4" s="32" t="s">
        <v>328</v>
      </c>
      <c r="F4" s="196" t="s">
        <v>917</v>
      </c>
      <c r="G4" s="196" t="s">
        <v>183</v>
      </c>
      <c r="H4" s="32" t="s">
        <v>473</v>
      </c>
      <c r="I4" s="196" t="s">
        <v>626</v>
      </c>
      <c r="J4" s="196" t="s">
        <v>1027</v>
      </c>
    </row>
    <row r="5" spans="1:33" ht="15" customHeight="1" thickTop="1" thickBot="1" x14ac:dyDescent="0.35">
      <c r="A5" s="15" t="s">
        <v>1288</v>
      </c>
      <c r="B5" s="163"/>
      <c r="C5" s="163"/>
      <c r="D5" s="163"/>
      <c r="E5" s="163"/>
      <c r="F5" s="163"/>
      <c r="G5" s="163"/>
      <c r="H5" s="163"/>
      <c r="I5" s="163"/>
      <c r="J5" s="179"/>
      <c r="K5" s="69"/>
      <c r="L5" s="69"/>
      <c r="M5" s="69"/>
      <c r="N5" s="69"/>
      <c r="O5" s="69"/>
      <c r="P5" s="69"/>
      <c r="Q5" s="69"/>
      <c r="R5" s="69"/>
      <c r="S5" s="173"/>
      <c r="T5" s="173"/>
      <c r="U5" s="173"/>
      <c r="V5" s="173"/>
      <c r="W5" s="173"/>
      <c r="X5" s="173"/>
      <c r="Y5" s="173"/>
    </row>
    <row r="6" spans="1:33" ht="15.6" thickTop="1" thickBot="1" x14ac:dyDescent="0.35">
      <c r="A6" s="18" t="s">
        <v>1107</v>
      </c>
      <c r="B6" s="139">
        <f>SUMIF(HK!A:A,"061*",HK!C:C)-SUMIF(HK!A:A,"061*",HK!D:D)</f>
        <v>0</v>
      </c>
      <c r="C6" s="139">
        <f>SUMIF(HK!A:A,"062*",HK!C:C)-SUMIF(HK!A:A,"062*",HK!D:D)</f>
        <v>0</v>
      </c>
      <c r="D6" s="139">
        <f>SUMIF(HK!A:A,"063*",HK!C:C)-SUMIF(HK!A:A,"063*",HK!D:D)</f>
        <v>0</v>
      </c>
      <c r="E6" s="139">
        <f>SUMIF(HK!A:A,"066*",HK!C:C)-SUMIF(HK!A:A,"066*",HK!D:D)</f>
        <v>0</v>
      </c>
      <c r="F6" s="139">
        <f>SUMIF(HK!A:A,"067*",HK!C:C)-SUMIF(HK!A:A,"067*",HK!D:D)</f>
        <v>0</v>
      </c>
      <c r="G6" s="241"/>
      <c r="H6" s="139">
        <f>SUMIF(HK!A:A,"043*",HK!C:C)-SUMIF(HK!A:A,"043*",HK!D:D)</f>
        <v>0</v>
      </c>
      <c r="I6" s="139">
        <f>SUMIF(HK!A:A,"053*",HK!C:C)-SUMIF(HK!A:A,"053*",HK!D:D)</f>
        <v>0</v>
      </c>
      <c r="J6" s="128">
        <f>SUM(B6:I6)</f>
        <v>0</v>
      </c>
      <c r="K6" s="78"/>
      <c r="L6" s="38"/>
      <c r="M6" s="78"/>
      <c r="N6" s="78"/>
      <c r="O6" s="78"/>
      <c r="P6" s="78"/>
      <c r="Q6" s="78"/>
      <c r="R6" s="78"/>
    </row>
    <row r="7" spans="1:33" ht="15" customHeight="1" thickBot="1" x14ac:dyDescent="0.35">
      <c r="A7" s="174" t="s">
        <v>1261</v>
      </c>
      <c r="B7" s="241"/>
      <c r="C7" s="241"/>
      <c r="D7" s="241"/>
      <c r="E7" s="241"/>
      <c r="F7" s="29"/>
      <c r="G7" s="241"/>
      <c r="H7" s="241"/>
      <c r="I7" s="241"/>
      <c r="J7" s="128">
        <f>SUM(B7:I7)</f>
        <v>0</v>
      </c>
      <c r="K7" s="78"/>
      <c r="L7" s="78"/>
      <c r="M7" s="78"/>
      <c r="N7" s="78"/>
      <c r="O7" s="78"/>
      <c r="P7" s="78"/>
      <c r="Q7" s="78"/>
      <c r="R7" s="78"/>
    </row>
    <row r="8" spans="1:33" ht="15" customHeight="1" thickBot="1" x14ac:dyDescent="0.35">
      <c r="A8" s="174" t="s">
        <v>18</v>
      </c>
      <c r="B8" s="241"/>
      <c r="C8" s="241"/>
      <c r="D8" s="241"/>
      <c r="E8" s="241"/>
      <c r="F8" s="29"/>
      <c r="G8" s="241"/>
      <c r="H8" s="241"/>
      <c r="I8" s="241"/>
      <c r="J8" s="128">
        <f>SUM(B8:I8)</f>
        <v>0</v>
      </c>
      <c r="K8" s="78"/>
      <c r="L8" s="78"/>
      <c r="M8" s="78"/>
      <c r="N8" s="78"/>
      <c r="O8" s="78"/>
      <c r="P8" s="78"/>
      <c r="Q8" s="78"/>
      <c r="R8" s="78"/>
    </row>
    <row r="9" spans="1:33" ht="15" customHeight="1" thickBot="1" x14ac:dyDescent="0.35">
      <c r="A9" s="174" t="s">
        <v>523</v>
      </c>
      <c r="B9" s="241"/>
      <c r="C9" s="241"/>
      <c r="D9" s="241"/>
      <c r="E9" s="241"/>
      <c r="F9" s="29"/>
      <c r="G9" s="241"/>
      <c r="H9" s="241"/>
      <c r="I9" s="241"/>
      <c r="J9" s="128">
        <f>SUM(B9:I9)</f>
        <v>0</v>
      </c>
      <c r="K9" s="78"/>
      <c r="L9" s="78"/>
      <c r="M9" s="78"/>
      <c r="N9" s="78"/>
      <c r="O9" s="78"/>
      <c r="P9" s="78"/>
      <c r="Q9" s="78"/>
      <c r="R9" s="78"/>
    </row>
    <row r="10" spans="1:33" ht="15" thickBot="1" x14ac:dyDescent="0.35">
      <c r="A10" s="129" t="s">
        <v>101</v>
      </c>
      <c r="B10" s="139">
        <f>SUMIF(HK!A:A,"061*",HK!K:K)-SUMIF(HK!A:A,"061*",HK!L:L)</f>
        <v>0</v>
      </c>
      <c r="C10" s="139">
        <f>SUMIF(HK!A:A,"062*",HK!K:K)-SUMIF(HK!A:A,"062*",HK!L:L)</f>
        <v>0</v>
      </c>
      <c r="D10" s="139">
        <f>SUMIF(HK!A:A,"063*",HK!K:K)-SUMIF(HK!A:A,"063*",HK!L:L)</f>
        <v>0</v>
      </c>
      <c r="E10" s="139">
        <f>SUMIF(HK!A:A,"066*",HK!K:K)-SUMIF(HK!A:A,"066*",HK!L:L)</f>
        <v>0</v>
      </c>
      <c r="F10" s="139">
        <f>SUMIF(HK!A:A,"067*",HK!K:K)-SUMIF(HK!A:A,"067*",HK!L:L)</f>
        <v>0</v>
      </c>
      <c r="G10" s="241"/>
      <c r="H10" s="139">
        <f>SUMIF(HK!A:A,"043*",HK!K:K)-SUMIF(HK!A:A,"043*",HK!L:L)</f>
        <v>0</v>
      </c>
      <c r="I10" s="139">
        <f>SUMIF(HK!A:A,"053*",HK!K:K)-SUMIF(HK!A:A,"053*",HK!L:L)</f>
        <v>0</v>
      </c>
      <c r="J10" s="218">
        <f>J6+J7-J8+J9</f>
        <v>0</v>
      </c>
      <c r="K10" s="78"/>
      <c r="L10" s="38"/>
      <c r="M10" s="78"/>
      <c r="N10" s="78"/>
      <c r="O10" s="78"/>
      <c r="P10" s="78"/>
      <c r="Q10" s="78"/>
      <c r="R10" s="78"/>
    </row>
    <row r="11" spans="1:33" ht="15" customHeight="1" thickTop="1" thickBot="1" x14ac:dyDescent="0.35">
      <c r="A11" s="15" t="s">
        <v>1273</v>
      </c>
      <c r="B11" s="145"/>
      <c r="C11" s="145"/>
      <c r="D11" s="145"/>
      <c r="E11" s="145"/>
      <c r="F11" s="145"/>
      <c r="G11" s="145"/>
      <c r="H11" s="145"/>
      <c r="I11" s="145"/>
      <c r="J11" s="179"/>
      <c r="K11" s="78"/>
      <c r="L11" s="78"/>
      <c r="M11" s="78"/>
      <c r="N11" s="78"/>
      <c r="O11" s="78"/>
      <c r="P11" s="78"/>
      <c r="Q11" s="78"/>
      <c r="R11" s="78"/>
    </row>
    <row r="12" spans="1:33" ht="15.6" thickTop="1" thickBot="1" x14ac:dyDescent="0.35">
      <c r="A12" s="18" t="s">
        <v>69</v>
      </c>
      <c r="B12" s="139"/>
      <c r="C12" s="139"/>
      <c r="D12" s="139"/>
      <c r="E12" s="139"/>
      <c r="F12" s="139"/>
      <c r="G12" s="139"/>
      <c r="H12" s="139"/>
      <c r="I12" s="139">
        <f>SUMIF(SUAM!C:C,"032",SUAM!E:E)</f>
        <v>0</v>
      </c>
      <c r="J12" s="128">
        <f>SUM(B12:I12)</f>
        <v>0</v>
      </c>
      <c r="K12" s="78"/>
      <c r="L12" s="38"/>
      <c r="M12" s="78"/>
      <c r="N12" s="124"/>
      <c r="O12" s="78"/>
      <c r="P12" s="78"/>
      <c r="Q12" s="78"/>
      <c r="R12" s="78"/>
    </row>
    <row r="13" spans="1:33" ht="15" customHeight="1" thickBot="1" x14ac:dyDescent="0.35">
      <c r="A13" s="174" t="s">
        <v>1261</v>
      </c>
      <c r="B13" s="241"/>
      <c r="C13" s="241"/>
      <c r="D13" s="241"/>
      <c r="E13" s="241"/>
      <c r="F13" s="241"/>
      <c r="G13" s="241"/>
      <c r="H13" s="241"/>
      <c r="I13" s="241"/>
      <c r="J13" s="128">
        <f>SUM(B13:I13)</f>
        <v>0</v>
      </c>
      <c r="K13" s="78"/>
      <c r="L13" s="78"/>
      <c r="M13" s="78"/>
      <c r="N13" s="78"/>
      <c r="O13" s="78"/>
      <c r="P13" s="78"/>
      <c r="Q13" s="78"/>
      <c r="R13" s="78"/>
    </row>
    <row r="14" spans="1:33" ht="15" customHeight="1" thickBot="1" x14ac:dyDescent="0.35">
      <c r="A14" s="174" t="s">
        <v>18</v>
      </c>
      <c r="B14" s="241"/>
      <c r="C14" s="241"/>
      <c r="D14" s="241"/>
      <c r="E14" s="241"/>
      <c r="F14" s="241"/>
      <c r="G14" s="241"/>
      <c r="H14" s="241"/>
      <c r="I14" s="241"/>
      <c r="J14" s="128">
        <f>SUM(B14:I14)</f>
        <v>0</v>
      </c>
      <c r="K14" s="78"/>
      <c r="L14" s="78"/>
      <c r="M14" s="78"/>
      <c r="N14" s="78"/>
      <c r="O14" s="78"/>
      <c r="P14" s="78"/>
      <c r="Q14" s="78"/>
      <c r="R14" s="78"/>
    </row>
    <row r="15" spans="1:33" ht="15" customHeight="1" thickBot="1" x14ac:dyDescent="0.35">
      <c r="A15" s="102" t="s">
        <v>523</v>
      </c>
      <c r="B15" s="29"/>
      <c r="C15" s="29"/>
      <c r="D15" s="29"/>
      <c r="E15" s="29"/>
      <c r="F15" s="29"/>
      <c r="G15" s="29"/>
      <c r="H15" s="29"/>
      <c r="I15" s="29"/>
      <c r="J15" s="88"/>
      <c r="K15" s="78"/>
      <c r="L15" s="78"/>
      <c r="M15" s="78"/>
      <c r="N15" s="78"/>
      <c r="O15" s="78"/>
      <c r="P15" s="78"/>
      <c r="Q15" s="78"/>
      <c r="R15" s="78"/>
    </row>
    <row r="16" spans="1:33" ht="15" thickBot="1" x14ac:dyDescent="0.35">
      <c r="A16" s="129" t="s">
        <v>101</v>
      </c>
      <c r="B16" s="139"/>
      <c r="C16" s="139"/>
      <c r="D16" s="139"/>
      <c r="E16" s="139"/>
      <c r="F16" s="139"/>
      <c r="G16" s="139"/>
      <c r="H16" s="139"/>
      <c r="I16" s="139">
        <f>SUMIF(SUA!C:C,"032",SUA!E:E)</f>
        <v>0</v>
      </c>
      <c r="J16" s="218">
        <f>J12+J13-J14</f>
        <v>0</v>
      </c>
      <c r="K16" s="78"/>
      <c r="L16" s="38"/>
      <c r="M16" s="78"/>
      <c r="N16" s="124"/>
      <c r="O16" s="78"/>
      <c r="P16" s="78"/>
      <c r="Q16" s="78"/>
      <c r="R16" s="78"/>
    </row>
    <row r="17" spans="1:33" ht="15" customHeight="1" thickTop="1" thickBot="1" x14ac:dyDescent="0.35">
      <c r="A17" s="15" t="s">
        <v>345</v>
      </c>
      <c r="B17" s="145"/>
      <c r="C17" s="145"/>
      <c r="D17" s="145"/>
      <c r="E17" s="145"/>
      <c r="F17" s="145"/>
      <c r="G17" s="145"/>
      <c r="H17" s="145"/>
      <c r="I17" s="145"/>
      <c r="J17" s="179"/>
      <c r="K17" s="78"/>
      <c r="L17" s="78"/>
      <c r="M17" s="78"/>
      <c r="N17" s="78"/>
      <c r="O17" s="78"/>
      <c r="P17" s="78"/>
      <c r="Q17" s="78"/>
      <c r="R17" s="78"/>
    </row>
    <row r="18" spans="1:33" ht="15" customHeight="1" thickTop="1" thickBot="1" x14ac:dyDescent="0.35">
      <c r="A18" s="18" t="s">
        <v>69</v>
      </c>
      <c r="B18" s="241"/>
      <c r="C18" s="241"/>
      <c r="D18" s="241"/>
      <c r="E18" s="241"/>
      <c r="F18" s="241"/>
      <c r="G18" s="241"/>
      <c r="H18" s="241"/>
      <c r="I18" s="241"/>
      <c r="J18" s="128"/>
    </row>
    <row r="19" spans="1:33" ht="15" customHeight="1" thickBot="1" x14ac:dyDescent="0.35">
      <c r="A19" s="129" t="s">
        <v>101</v>
      </c>
      <c r="B19" s="49"/>
      <c r="C19" s="49"/>
      <c r="D19" s="49"/>
      <c r="E19" s="49"/>
      <c r="F19" s="49"/>
      <c r="G19" s="49"/>
      <c r="H19" s="49"/>
      <c r="I19" s="49"/>
      <c r="J19" s="218"/>
    </row>
    <row r="20" spans="1:33" ht="15" thickTop="1" x14ac:dyDescent="0.3">
      <c r="A20" s="146"/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33" x14ac:dyDescent="0.3">
      <c r="A21" s="146"/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33" ht="15" thickBot="1" x14ac:dyDescent="0.35">
      <c r="A22" s="7" t="s">
        <v>8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5">
      <c r="A23" s="260" t="s">
        <v>983</v>
      </c>
      <c r="B23" s="254" t="s">
        <v>860</v>
      </c>
      <c r="C23" s="255"/>
      <c r="D23" s="255"/>
      <c r="E23" s="255"/>
      <c r="F23" s="255"/>
      <c r="G23" s="255"/>
      <c r="H23" s="255"/>
      <c r="I23" s="255"/>
      <c r="J23" s="256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</row>
    <row r="24" spans="1:33" ht="66.75" customHeight="1" thickTop="1" thickBot="1" x14ac:dyDescent="0.35">
      <c r="A24" s="261"/>
      <c r="B24" s="247" t="s">
        <v>1242</v>
      </c>
      <c r="C24" s="89" t="s">
        <v>1071</v>
      </c>
      <c r="D24" s="247" t="s">
        <v>62</v>
      </c>
      <c r="E24" s="89" t="s">
        <v>328</v>
      </c>
      <c r="F24" s="247" t="s">
        <v>917</v>
      </c>
      <c r="G24" s="247" t="s">
        <v>183</v>
      </c>
      <c r="H24" s="89" t="s">
        <v>473</v>
      </c>
      <c r="I24" s="247" t="s">
        <v>626</v>
      </c>
      <c r="J24" s="247" t="s">
        <v>1027</v>
      </c>
    </row>
    <row r="25" spans="1:33" ht="15" customHeight="1" thickTop="1" thickBot="1" x14ac:dyDescent="0.35">
      <c r="A25" s="214" t="s">
        <v>1288</v>
      </c>
      <c r="B25" s="111"/>
      <c r="C25" s="111"/>
      <c r="D25" s="111"/>
      <c r="E25" s="111"/>
      <c r="F25" s="111"/>
      <c r="G25" s="111"/>
      <c r="H25" s="111"/>
      <c r="I25" s="111"/>
      <c r="J25" s="118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</row>
    <row r="26" spans="1:33" ht="15.6" thickTop="1" thickBot="1" x14ac:dyDescent="0.35">
      <c r="A26" s="216" t="s">
        <v>1107</v>
      </c>
      <c r="B26" s="139">
        <f>SUMIF(HKM!A:A,"061*",HKM!C:C)-SUMIF(HKM!A:A,"061*",HKM!D:D)</f>
        <v>0</v>
      </c>
      <c r="C26" s="139">
        <f>SUMIF(HKM!A:A,"062*",HKM!C:C)-SUMIF(HKM!A:A,"062*",HKM!D:D)</f>
        <v>0</v>
      </c>
      <c r="D26" s="139">
        <f>SUMIF(HKM!A:A,"063*",HKM!C:C)-SUMIF(HKM!A:A,"063*",HKM!D:D)</f>
        <v>0</v>
      </c>
      <c r="E26" s="139">
        <f>SUMIF(HKM!A:A,"066*",HKM!C:C)-SUMIF(HKM!A:A,"066*",HKM!D:D)</f>
        <v>0</v>
      </c>
      <c r="F26" s="139">
        <f>SUMIF(HKM!A:A,"067*",HKM!C:C)-SUMIF(HKM!A:A,"067*",HKM!D:D)</f>
        <v>0</v>
      </c>
      <c r="G26" s="241"/>
      <c r="H26" s="139">
        <f>SUMIF(HKM!A:A,"043*",HKM!C:C)-SUMIF(HKM!A:A,"043*",HKM!D:D)</f>
        <v>0</v>
      </c>
      <c r="I26" s="139">
        <f>SUMIF(HKM!A:A,"053*",HKM!C:C)-SUMIF(HKM!A:A,"053*",HKM!D:D)</f>
        <v>0</v>
      </c>
      <c r="J26" s="73">
        <f>SUM(B26:I26)</f>
        <v>0</v>
      </c>
      <c r="K26" s="78"/>
      <c r="L26" s="3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1:33" ht="15" customHeight="1" thickBot="1" x14ac:dyDescent="0.35">
      <c r="A27" s="116" t="s">
        <v>1261</v>
      </c>
      <c r="B27" s="241"/>
      <c r="C27" s="241"/>
      <c r="D27" s="241"/>
      <c r="E27" s="241"/>
      <c r="F27" s="29"/>
      <c r="G27" s="241"/>
      <c r="H27" s="241"/>
      <c r="I27" s="241"/>
      <c r="J27" s="73">
        <f>SUM(B27:I27)</f>
        <v>0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1:33" ht="15" customHeight="1" thickBot="1" x14ac:dyDescent="0.35">
      <c r="A28" s="250" t="s">
        <v>18</v>
      </c>
      <c r="B28" s="56"/>
      <c r="C28" s="241"/>
      <c r="D28" s="241"/>
      <c r="E28" s="241"/>
      <c r="F28" s="29"/>
      <c r="G28" s="241"/>
      <c r="H28" s="241"/>
      <c r="I28" s="241"/>
      <c r="J28" s="73">
        <f>SUM(B28:I28)</f>
        <v>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</row>
    <row r="29" spans="1:33" ht="15" customHeight="1" thickBot="1" x14ac:dyDescent="0.35">
      <c r="A29" s="46" t="s">
        <v>523</v>
      </c>
      <c r="B29" s="29"/>
      <c r="C29" s="241"/>
      <c r="D29" s="241"/>
      <c r="E29" s="241"/>
      <c r="F29" s="29"/>
      <c r="G29" s="241"/>
      <c r="H29" s="241"/>
      <c r="I29" s="241"/>
      <c r="J29" s="73">
        <f>SUM(B29:I29)</f>
        <v>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</row>
    <row r="30" spans="1:33" ht="15" thickBot="1" x14ac:dyDescent="0.35">
      <c r="A30" s="74" t="s">
        <v>101</v>
      </c>
      <c r="B30" s="139">
        <f>SUMIF(HKM!A:A,"061*",HKM!K:K)-SUMIF(HKM!A:A,"061*",HKM!L:L)</f>
        <v>0</v>
      </c>
      <c r="C30" s="139">
        <f>SUMIF(HKM!A:A,"062*",HKM!K:K)-SUMIF(HKM!A:A,"062*",HKM!L:L)</f>
        <v>0</v>
      </c>
      <c r="D30" s="139">
        <f>SUMIF(HKM!A:A,"063*",HKM!K:K)-SUMIF(HKM!A:A,"063*",HKM!L:L)</f>
        <v>0</v>
      </c>
      <c r="E30" s="139">
        <f>SUMIF(HKM!A:A,"066*",HKM!K:K)-SUMIF(HKM!A:A,"066*",HKM!L:L)</f>
        <v>0</v>
      </c>
      <c r="F30" s="139">
        <f>SUMIF(HKM!A:A,"067*",HKM!K:K)-SUMIF(HKM!A:A,"067*",HKM!L:L)</f>
        <v>0</v>
      </c>
      <c r="G30" s="241"/>
      <c r="H30" s="139">
        <f>SUMIF(HKM!A:A,"043*",HKM!K:K)-SUMIF(HKM!A:A,"043*",HKM!L:L)</f>
        <v>0</v>
      </c>
      <c r="I30" s="139">
        <f>SUMIF(HKM!A:A,"053*",HKM!K:K)-SUMIF(HKM!A:A,"053*",HKM!L:L)</f>
        <v>0</v>
      </c>
      <c r="J30" s="152">
        <f>J26+J27-J28+J29</f>
        <v>0</v>
      </c>
      <c r="K30" s="78"/>
      <c r="L30" s="3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1:33" ht="15" customHeight="1" thickTop="1" thickBot="1" x14ac:dyDescent="0.35">
      <c r="A31" s="214" t="s">
        <v>1273</v>
      </c>
      <c r="B31" s="145"/>
      <c r="C31" s="145"/>
      <c r="D31" s="145"/>
      <c r="E31" s="145"/>
      <c r="F31" s="145"/>
      <c r="G31" s="145"/>
      <c r="H31" s="145"/>
      <c r="I31" s="145"/>
      <c r="J31" s="11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1:33" ht="15.6" thickTop="1" thickBot="1" x14ac:dyDescent="0.35">
      <c r="A32" s="216" t="s">
        <v>69</v>
      </c>
      <c r="B32" s="139"/>
      <c r="C32" s="139"/>
      <c r="D32" s="139"/>
      <c r="E32" s="139"/>
      <c r="F32" s="139"/>
      <c r="G32" s="139"/>
      <c r="H32" s="139"/>
      <c r="I32" s="155"/>
      <c r="J32" s="73">
        <f>SUM(B32:I32)</f>
        <v>0</v>
      </c>
      <c r="K32" s="78"/>
      <c r="L32" s="38"/>
      <c r="M32" s="213"/>
      <c r="N32" s="124"/>
      <c r="O32" s="78"/>
      <c r="P32" s="78"/>
      <c r="Q32" s="78"/>
      <c r="R32" s="78"/>
      <c r="S32" s="78"/>
      <c r="T32" s="78"/>
      <c r="U32" s="78"/>
      <c r="V32" s="78"/>
      <c r="W32" s="78"/>
    </row>
    <row r="33" spans="1:23" ht="15" customHeight="1" thickBot="1" x14ac:dyDescent="0.35">
      <c r="A33" s="116" t="s">
        <v>1261</v>
      </c>
      <c r="B33" s="241"/>
      <c r="C33" s="241"/>
      <c r="D33" s="241"/>
      <c r="E33" s="241"/>
      <c r="F33" s="241"/>
      <c r="G33" s="241"/>
      <c r="H33" s="241"/>
      <c r="I33" s="241"/>
      <c r="J33" s="73">
        <f>SUM(B33:I33)</f>
        <v>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</row>
    <row r="34" spans="1:23" ht="15" customHeight="1" thickBot="1" x14ac:dyDescent="0.35">
      <c r="A34" s="116" t="s">
        <v>18</v>
      </c>
      <c r="B34" s="241"/>
      <c r="C34" s="241"/>
      <c r="D34" s="241"/>
      <c r="E34" s="241"/>
      <c r="F34" s="241"/>
      <c r="G34" s="241"/>
      <c r="H34" s="241"/>
      <c r="I34" s="241"/>
      <c r="J34" s="73">
        <f>SUM(B34:I34)</f>
        <v>0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</row>
    <row r="35" spans="1:23" ht="15" customHeight="1" thickBot="1" x14ac:dyDescent="0.35">
      <c r="A35" s="46" t="s">
        <v>523</v>
      </c>
      <c r="B35" s="29"/>
      <c r="C35" s="29"/>
      <c r="D35" s="29"/>
      <c r="E35" s="29"/>
      <c r="F35" s="29"/>
      <c r="G35" s="29"/>
      <c r="H35" s="29"/>
      <c r="I35" s="29"/>
      <c r="J35" s="29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</row>
    <row r="36" spans="1:23" ht="15" thickBot="1" x14ac:dyDescent="0.35">
      <c r="A36" s="74" t="s">
        <v>101</v>
      </c>
      <c r="B36" s="139"/>
      <c r="C36" s="139"/>
      <c r="D36" s="139"/>
      <c r="E36" s="139"/>
      <c r="F36" s="139"/>
      <c r="G36" s="139"/>
      <c r="H36" s="139"/>
      <c r="I36" s="139">
        <f>SUMIF(SUAM!C:C,"032",SUAM!E:E)</f>
        <v>0</v>
      </c>
      <c r="J36" s="152">
        <f>J32+J33-J34</f>
        <v>0</v>
      </c>
      <c r="K36" s="78"/>
      <c r="L36" s="38"/>
      <c r="M36" s="78"/>
      <c r="N36" s="124"/>
      <c r="O36" s="78"/>
      <c r="P36" s="78"/>
      <c r="Q36" s="78"/>
      <c r="R36" s="78"/>
      <c r="S36" s="78"/>
      <c r="T36" s="78"/>
      <c r="U36" s="78"/>
      <c r="V36" s="78"/>
      <c r="W36" s="78"/>
    </row>
    <row r="37" spans="1:23" ht="15" customHeight="1" thickTop="1" thickBot="1" x14ac:dyDescent="0.35">
      <c r="A37" s="214" t="s">
        <v>345</v>
      </c>
      <c r="B37" s="111"/>
      <c r="C37" s="111"/>
      <c r="D37" s="111"/>
      <c r="E37" s="111"/>
      <c r="F37" s="111"/>
      <c r="G37" s="111"/>
      <c r="H37" s="111"/>
      <c r="I37" s="111"/>
      <c r="J37" s="11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</row>
    <row r="38" spans="1:23" ht="15" customHeight="1" thickTop="1" thickBot="1" x14ac:dyDescent="0.35">
      <c r="A38" s="216" t="s">
        <v>69</v>
      </c>
      <c r="B38" s="241"/>
      <c r="C38" s="241"/>
      <c r="D38" s="241"/>
      <c r="E38" s="241"/>
      <c r="F38" s="241"/>
      <c r="G38" s="241"/>
      <c r="H38" s="241"/>
      <c r="I38" s="241"/>
      <c r="J38" s="73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</row>
    <row r="39" spans="1:23" ht="15" customHeight="1" thickBot="1" x14ac:dyDescent="0.35">
      <c r="A39" s="74" t="s">
        <v>101</v>
      </c>
      <c r="B39" s="49"/>
      <c r="C39" s="49"/>
      <c r="D39" s="49"/>
      <c r="E39" s="49"/>
      <c r="F39" s="49"/>
      <c r="G39" s="49"/>
      <c r="H39" s="49"/>
      <c r="I39" s="49"/>
      <c r="J39" s="152"/>
    </row>
    <row r="40" spans="1:23" ht="15" thickTop="1" x14ac:dyDescent="0.3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  <row r="41" spans="1:23" x14ac:dyDescent="0.3">
      <c r="A41" s="197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23" x14ac:dyDescent="0.3">
      <c r="A42" s="197"/>
      <c r="B42" s="197"/>
      <c r="C42" s="197"/>
      <c r="D42" s="197"/>
      <c r="E42" s="197"/>
      <c r="F42" s="197"/>
      <c r="G42" s="197"/>
      <c r="H42" s="197"/>
      <c r="I42" s="197"/>
      <c r="J42" s="19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zoomScaleSheetLayoutView="100" workbookViewId="0"/>
  </sheetViews>
  <sheetFormatPr defaultRowHeight="14.4" x14ac:dyDescent="0.3"/>
  <cols>
    <col min="1" max="2" width="43.33203125" customWidth="1"/>
    <col min="3" max="3" width="19.109375" customWidth="1"/>
  </cols>
  <sheetData>
    <row r="1" spans="1:2" ht="15" thickBot="1" x14ac:dyDescent="0.35">
      <c r="A1" s="44" t="s">
        <v>922</v>
      </c>
    </row>
    <row r="2" spans="1:2" ht="21" customHeight="1" thickTop="1" thickBot="1" x14ac:dyDescent="0.35">
      <c r="A2" s="196" t="s">
        <v>983</v>
      </c>
      <c r="B2" s="32" t="s">
        <v>1004</v>
      </c>
    </row>
    <row r="3" spans="1:2" ht="23.25" customHeight="1" thickTop="1" thickBot="1" x14ac:dyDescent="0.35">
      <c r="A3" s="195" t="s">
        <v>280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zoomScaleSheetLayoutView="100" workbookViewId="0"/>
  </sheetViews>
  <sheetFormatPr defaultRowHeight="14.4" x14ac:dyDescent="0.3"/>
  <cols>
    <col min="1" max="1" width="21.33203125" customWidth="1"/>
    <col min="2" max="4" width="12.6640625" customWidth="1"/>
    <col min="5" max="5" width="14.33203125" customWidth="1"/>
    <col min="6" max="6" width="12.6640625" customWidth="1"/>
  </cols>
  <sheetData>
    <row r="1" spans="1:6" ht="15" thickBot="1" x14ac:dyDescent="0.35">
      <c r="A1" s="91" t="s">
        <v>823</v>
      </c>
    </row>
    <row r="2" spans="1:6" ht="16.5" customHeight="1" thickTop="1" thickBot="1" x14ac:dyDescent="0.35">
      <c r="A2" s="252" t="s">
        <v>910</v>
      </c>
      <c r="B2" s="267" t="s">
        <v>137</v>
      </c>
      <c r="C2" s="268"/>
      <c r="D2" s="268"/>
      <c r="E2" s="268"/>
      <c r="F2" s="269"/>
    </row>
    <row r="3" spans="1:6" ht="70.5" customHeight="1" thickBot="1" x14ac:dyDescent="0.35">
      <c r="A3" s="266"/>
      <c r="B3" s="108" t="s">
        <v>796</v>
      </c>
      <c r="C3" s="108" t="s">
        <v>547</v>
      </c>
      <c r="D3" s="160" t="s">
        <v>2</v>
      </c>
      <c r="E3" s="108" t="s">
        <v>560</v>
      </c>
      <c r="F3" s="108" t="s">
        <v>90</v>
      </c>
    </row>
    <row r="4" spans="1:6" ht="15.6" thickTop="1" thickBot="1" x14ac:dyDescent="0.35">
      <c r="A4" s="1" t="s">
        <v>1063</v>
      </c>
      <c r="B4" s="8"/>
      <c r="C4" s="8"/>
      <c r="D4" s="8"/>
      <c r="E4" s="8"/>
      <c r="F4" s="20"/>
    </row>
    <row r="5" spans="1:6" ht="15.6" thickTop="1" thickBot="1" x14ac:dyDescent="0.35">
      <c r="A5" s="93"/>
      <c r="B5" s="63"/>
      <c r="C5" s="63"/>
      <c r="D5" s="41"/>
      <c r="E5" s="41"/>
      <c r="F5" s="128"/>
    </row>
    <row r="6" spans="1:6" ht="15" thickBot="1" x14ac:dyDescent="0.35">
      <c r="A6" s="93"/>
      <c r="B6" s="63"/>
      <c r="C6" s="63"/>
      <c r="D6" s="41"/>
      <c r="E6" s="41"/>
      <c r="F6" s="128"/>
    </row>
    <row r="7" spans="1:6" ht="15" thickBot="1" x14ac:dyDescent="0.35">
      <c r="A7" s="228"/>
      <c r="B7" s="233"/>
      <c r="C7" s="233"/>
      <c r="D7" s="105"/>
      <c r="E7" s="105"/>
      <c r="F7" s="139">
        <f>SUMIF(HK!A:A,"061*",HK!K:K)-SUMIF(HK!A:A,"061*",HK!L:L)</f>
        <v>0</v>
      </c>
    </row>
    <row r="8" spans="1:6" ht="15.6" thickTop="1" thickBot="1" x14ac:dyDescent="0.35">
      <c r="A8" s="1" t="s">
        <v>1023</v>
      </c>
      <c r="B8" s="8"/>
      <c r="C8" s="8"/>
      <c r="D8" s="8"/>
      <c r="E8" s="8"/>
      <c r="F8" s="235"/>
    </row>
    <row r="9" spans="1:6" ht="15.6" thickTop="1" thickBot="1" x14ac:dyDescent="0.35">
      <c r="A9" s="93"/>
      <c r="B9" s="63"/>
      <c r="C9" s="63"/>
      <c r="D9" s="41"/>
      <c r="E9" s="41"/>
      <c r="F9" s="73"/>
    </row>
    <row r="10" spans="1:6" ht="15" thickBot="1" x14ac:dyDescent="0.35">
      <c r="A10" s="93"/>
      <c r="B10" s="63"/>
      <c r="C10" s="63"/>
      <c r="D10" s="41"/>
      <c r="E10" s="41"/>
      <c r="F10" s="73"/>
    </row>
    <row r="11" spans="1:6" ht="15" thickBot="1" x14ac:dyDescent="0.35">
      <c r="A11" s="228"/>
      <c r="B11" s="233"/>
      <c r="C11" s="233"/>
      <c r="D11" s="105"/>
      <c r="E11" s="105"/>
      <c r="F11" s="139">
        <f>SUMIF(HK!A:A,"062*",HK!K:K)-SUMIF(HK!A:A,"062*",HK!L:L)</f>
        <v>0</v>
      </c>
    </row>
    <row r="12" spans="1:6" ht="15.6" thickTop="1" thickBot="1" x14ac:dyDescent="0.35">
      <c r="A12" s="1" t="s">
        <v>94</v>
      </c>
      <c r="B12" s="8"/>
      <c r="C12" s="8"/>
      <c r="D12" s="8"/>
      <c r="E12" s="8"/>
      <c r="F12" s="235"/>
    </row>
    <row r="13" spans="1:6" ht="15.6" thickTop="1" thickBot="1" x14ac:dyDescent="0.35">
      <c r="A13" s="93"/>
      <c r="B13" s="63"/>
      <c r="C13" s="63"/>
      <c r="D13" s="41"/>
      <c r="E13" s="41"/>
      <c r="F13" s="73"/>
    </row>
    <row r="14" spans="1:6" ht="15" thickBot="1" x14ac:dyDescent="0.35">
      <c r="A14" s="93"/>
      <c r="B14" s="63"/>
      <c r="C14" s="63"/>
      <c r="D14" s="41"/>
      <c r="E14" s="41"/>
      <c r="F14" s="73"/>
    </row>
    <row r="15" spans="1:6" ht="15" thickBot="1" x14ac:dyDescent="0.35">
      <c r="A15" s="228"/>
      <c r="B15" s="233"/>
      <c r="C15" s="233"/>
      <c r="D15" s="105"/>
      <c r="E15" s="105"/>
      <c r="F15" s="139">
        <f>SUMIF(HK!A:A,"063*",HK!K:K)-SUMIF(HK!A:A,"063*",HK!L:L)</f>
        <v>0</v>
      </c>
    </row>
    <row r="16" spans="1:6" ht="15.6" thickTop="1" thickBot="1" x14ac:dyDescent="0.35">
      <c r="A16" s="1" t="s">
        <v>533</v>
      </c>
      <c r="B16" s="8"/>
      <c r="C16" s="8"/>
      <c r="D16" s="8"/>
      <c r="E16" s="8"/>
      <c r="F16" s="235"/>
    </row>
    <row r="17" spans="1:6" ht="15.6" thickTop="1" thickBot="1" x14ac:dyDescent="0.35">
      <c r="A17" s="186"/>
      <c r="B17" s="63"/>
      <c r="C17" s="63"/>
      <c r="D17" s="41"/>
      <c r="E17" s="41"/>
      <c r="F17" s="73"/>
    </row>
    <row r="18" spans="1:6" ht="15" thickBot="1" x14ac:dyDescent="0.35">
      <c r="A18" s="68"/>
      <c r="B18" s="233"/>
      <c r="C18" s="233"/>
      <c r="D18" s="97"/>
      <c r="E18" s="168"/>
      <c r="F18" s="139">
        <f>SUMIF(HK!A:A,"043*",HK!K:K)-SUMIF(HK!A:A,"043*",HK!L:L)</f>
        <v>0</v>
      </c>
    </row>
    <row r="19" spans="1:6" ht="21.6" thickTop="1" thickBot="1" x14ac:dyDescent="0.35">
      <c r="A19" s="129" t="s">
        <v>478</v>
      </c>
      <c r="B19" s="206" t="s">
        <v>81</v>
      </c>
      <c r="C19" s="206" t="s">
        <v>81</v>
      </c>
      <c r="D19" s="206" t="s">
        <v>81</v>
      </c>
      <c r="E19" s="206" t="s">
        <v>81</v>
      </c>
      <c r="F19" s="218">
        <f>SUM(F17:F18)+SUM(F13:F15)+SUM(F9:F11)+SUM(F5:F7)</f>
        <v>0</v>
      </c>
    </row>
    <row r="20" spans="1:6" ht="15" thickTop="1" x14ac:dyDescent="0.3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34</vt:lpstr>
      <vt:lpstr>33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nb</cp:lastModifiedBy>
  <dcterms:created xsi:type="dcterms:W3CDTF">2016-06-30T18:38:25Z</dcterms:created>
  <dcterms:modified xsi:type="dcterms:W3CDTF">2016-06-30T18:52:50Z</dcterms:modified>
</cp:coreProperties>
</file>